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cen-02\Datos02\GciaMercadoDeCapitales\NegFiduciarios\Negocios Fiduciarios\Banex 89\Colocación\Info a Inversores\"/>
    </mc:Choice>
  </mc:AlternateContent>
  <bookViews>
    <workbookView xWindow="240" yWindow="15" windowWidth="11580" windowHeight="6540"/>
  </bookViews>
  <sheets>
    <sheet name="VDF TV" sheetId="4" r:id="rId1"/>
    <sheet name="CP" sheetId="8" r:id="rId2"/>
  </sheets>
  <definedNames>
    <definedName name="_xlnm.Print_Area" localSheetId="1">CP!$A$1:$N$53</definedName>
    <definedName name="_xlnm.Print_Area" localSheetId="0">'VDF TV'!$A$1:$T$43</definedName>
  </definedNames>
  <calcPr calcId="152511"/>
</workbook>
</file>

<file path=xl/calcChain.xml><?xml version="1.0" encoding="utf-8"?>
<calcChain xmlns="http://schemas.openxmlformats.org/spreadsheetml/2006/main">
  <c r="H8" i="8" l="1"/>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L88" i="8" l="1"/>
  <c r="L89" i="8"/>
  <c r="L90" i="8"/>
  <c r="L91" i="8"/>
  <c r="L92" i="8"/>
  <c r="L93" i="8"/>
  <c r="B2" i="8" l="1"/>
  <c r="K100" i="8" l="1"/>
  <c r="J100" i="8"/>
  <c r="L87" i="8"/>
  <c r="L86" i="8"/>
  <c r="L85" i="8"/>
  <c r="L84" i="8"/>
  <c r="L83" i="8"/>
  <c r="L82" i="8"/>
  <c r="L81" i="8"/>
  <c r="L80" i="8"/>
  <c r="L79" i="8"/>
  <c r="L78" i="8"/>
  <c r="L77" i="8"/>
  <c r="L76" i="8"/>
  <c r="L75" i="8"/>
  <c r="L74" i="8"/>
  <c r="L73" i="8"/>
  <c r="L70" i="8"/>
  <c r="L69" i="8"/>
  <c r="L68" i="8"/>
  <c r="L67" i="8"/>
  <c r="L66" i="8"/>
  <c r="L65" i="8"/>
  <c r="L64" i="8"/>
  <c r="L63" i="8"/>
  <c r="L62" i="8"/>
  <c r="L61" i="8"/>
  <c r="L60" i="8"/>
  <c r="L59" i="8"/>
  <c r="L58" i="8"/>
  <c r="L57" i="8"/>
  <c r="L56" i="8"/>
  <c r="L55" i="8"/>
  <c r="I55" i="8"/>
  <c r="G16" i="8"/>
  <c r="I10" i="8"/>
  <c r="L9" i="8"/>
  <c r="I9" i="8"/>
  <c r="J12" i="8" l="1"/>
  <c r="K13" i="8"/>
  <c r="J16" i="8"/>
  <c r="K17" i="8"/>
  <c r="J20" i="8"/>
  <c r="L20" i="8" s="1"/>
  <c r="K21" i="8"/>
  <c r="J24" i="8"/>
  <c r="K25" i="8"/>
  <c r="J28" i="8"/>
  <c r="L28" i="8" s="1"/>
  <c r="K29" i="8"/>
  <c r="J32" i="8"/>
  <c r="K33" i="8"/>
  <c r="J36" i="8"/>
  <c r="L36" i="8" s="1"/>
  <c r="K45" i="8"/>
  <c r="K12" i="8"/>
  <c r="J13" i="8"/>
  <c r="L13" i="8" s="1"/>
  <c r="K14" i="8"/>
  <c r="J17" i="8"/>
  <c r="L17" i="8" s="1"/>
  <c r="K18" i="8"/>
  <c r="J21" i="8"/>
  <c r="L21" i="8" s="1"/>
  <c r="K22" i="8"/>
  <c r="J25" i="8"/>
  <c r="L25" i="8" s="1"/>
  <c r="K26" i="8"/>
  <c r="J29" i="8"/>
  <c r="L29" i="8" s="1"/>
  <c r="K30" i="8"/>
  <c r="J33" i="8"/>
  <c r="L33" i="8" s="1"/>
  <c r="K34" i="8"/>
  <c r="J37" i="8"/>
  <c r="K38" i="8"/>
  <c r="J41" i="8"/>
  <c r="K42" i="8"/>
  <c r="J45" i="8"/>
  <c r="L45" i="8" s="1"/>
  <c r="K46" i="8"/>
  <c r="K37" i="8"/>
  <c r="J40" i="8"/>
  <c r="K41" i="8"/>
  <c r="J44" i="8"/>
  <c r="L44" i="8" s="1"/>
  <c r="J11" i="8"/>
  <c r="J15" i="8"/>
  <c r="K16" i="8"/>
  <c r="J19" i="8"/>
  <c r="L19" i="8" s="1"/>
  <c r="K20" i="8"/>
  <c r="J23" i="8"/>
  <c r="K24" i="8"/>
  <c r="J27" i="8"/>
  <c r="L27" i="8" s="1"/>
  <c r="K28" i="8"/>
  <c r="J31" i="8"/>
  <c r="K32" i="8"/>
  <c r="J35" i="8"/>
  <c r="L35" i="8" s="1"/>
  <c r="K36" i="8"/>
  <c r="J39" i="8"/>
  <c r="K40" i="8"/>
  <c r="J43" i="8"/>
  <c r="L43" i="8" s="1"/>
  <c r="K44" i="8"/>
  <c r="J47" i="8"/>
  <c r="K11" i="8"/>
  <c r="J14" i="8"/>
  <c r="L14" i="8" s="1"/>
  <c r="K15" i="8"/>
  <c r="J18" i="8"/>
  <c r="L18" i="8" s="1"/>
  <c r="K19" i="8"/>
  <c r="J22" i="8"/>
  <c r="L22" i="8" s="1"/>
  <c r="K23" i="8"/>
  <c r="J26" i="8"/>
  <c r="L26" i="8" s="1"/>
  <c r="K27" i="8"/>
  <c r="J30" i="8"/>
  <c r="L30" i="8" s="1"/>
  <c r="K31" i="8"/>
  <c r="J34" i="8"/>
  <c r="L34" i="8" s="1"/>
  <c r="K35" i="8"/>
  <c r="J38" i="8"/>
  <c r="L38" i="8" s="1"/>
  <c r="K39" i="8"/>
  <c r="J42" i="8"/>
  <c r="L42" i="8" s="1"/>
  <c r="K43" i="8"/>
  <c r="J46" i="8"/>
  <c r="L46" i="8" s="1"/>
  <c r="K47" i="8"/>
  <c r="L100" i="8"/>
  <c r="K10" i="8"/>
  <c r="J10" i="8"/>
  <c r="L47" i="8" l="1"/>
  <c r="L39" i="8"/>
  <c r="L31" i="8"/>
  <c r="L12" i="8"/>
  <c r="L37" i="8"/>
  <c r="L23" i="8"/>
  <c r="L15" i="8"/>
  <c r="L40" i="8"/>
  <c r="L32" i="8"/>
  <c r="L24" i="8"/>
  <c r="L16" i="8"/>
  <c r="L11" i="8"/>
  <c r="L41" i="8"/>
  <c r="J48" i="8"/>
  <c r="L10" i="8"/>
  <c r="K48" i="8"/>
  <c r="L48" i="8" l="1"/>
  <c r="G12" i="8"/>
  <c r="G14" i="8" s="1"/>
  <c r="G12" i="4" l="1"/>
  <c r="J49" i="4" l="1"/>
  <c r="J50" i="4"/>
  <c r="J51" i="4"/>
  <c r="J52" i="4"/>
  <c r="J53" i="4"/>
  <c r="J54" i="4"/>
  <c r="J55" i="4"/>
  <c r="J56" i="4"/>
  <c r="J57" i="4"/>
  <c r="J58" i="4"/>
  <c r="J59" i="4"/>
  <c r="J23" i="4" s="1"/>
  <c r="J60" i="4"/>
  <c r="J24" i="4" s="1"/>
  <c r="J61" i="4"/>
  <c r="J62" i="4"/>
  <c r="J63" i="4"/>
  <c r="J27" i="4" s="1"/>
  <c r="J64" i="4"/>
  <c r="J28" i="4" s="1"/>
  <c r="J65" i="4"/>
  <c r="J66" i="4"/>
  <c r="J67" i="4"/>
  <c r="J31" i="4" s="1"/>
  <c r="J68" i="4"/>
  <c r="J32" i="4" s="1"/>
  <c r="J69" i="4"/>
  <c r="J70" i="4"/>
  <c r="I21" i="4"/>
  <c r="J21" i="4"/>
  <c r="L21" i="4"/>
  <c r="I22" i="4"/>
  <c r="J22" i="4"/>
  <c r="L22" i="4"/>
  <c r="I23" i="4"/>
  <c r="L23" i="4"/>
  <c r="I24" i="4"/>
  <c r="L24" i="4"/>
  <c r="I25" i="4"/>
  <c r="J25" i="4"/>
  <c r="L25" i="4"/>
  <c r="I26" i="4"/>
  <c r="J26" i="4"/>
  <c r="L26" i="4"/>
  <c r="I27" i="4"/>
  <c r="L27" i="4"/>
  <c r="I28" i="4"/>
  <c r="L28" i="4"/>
  <c r="I29" i="4"/>
  <c r="J29" i="4"/>
  <c r="L29" i="4"/>
  <c r="I30" i="4"/>
  <c r="J30" i="4"/>
  <c r="L30" i="4"/>
  <c r="I31" i="4"/>
  <c r="L31" i="4"/>
  <c r="I32" i="4"/>
  <c r="L32" i="4"/>
  <c r="I33" i="4"/>
  <c r="J33" i="4"/>
  <c r="L33" i="4"/>
  <c r="I34" i="4"/>
  <c r="J34" i="4"/>
  <c r="L34" i="4"/>
  <c r="I45" i="4" l="1"/>
  <c r="I11" i="4" l="1"/>
  <c r="L11" i="4"/>
  <c r="I12" i="4"/>
  <c r="L12" i="4"/>
  <c r="I13" i="4"/>
  <c r="L13" i="4"/>
  <c r="I14" i="4"/>
  <c r="L14" i="4"/>
  <c r="I15" i="4"/>
  <c r="L15" i="4"/>
  <c r="I16" i="4"/>
  <c r="L16" i="4"/>
  <c r="I17" i="4"/>
  <c r="L17" i="4"/>
  <c r="I18" i="4"/>
  <c r="L18" i="4"/>
  <c r="I19" i="4"/>
  <c r="L19" i="4"/>
  <c r="I20" i="4"/>
  <c r="L20" i="4"/>
  <c r="K45" i="4" l="1"/>
  <c r="K46" i="4" s="1"/>
  <c r="K47" i="4" s="1"/>
  <c r="K48" i="4" s="1"/>
  <c r="J46" i="4"/>
  <c r="J47" i="4"/>
  <c r="J11" i="4" s="1"/>
  <c r="N47" i="4"/>
  <c r="M11" i="4" s="1"/>
  <c r="J48" i="4"/>
  <c r="J12" i="4" s="1"/>
  <c r="N48" i="4"/>
  <c r="M12" i="4" s="1"/>
  <c r="J13" i="4"/>
  <c r="J14" i="4"/>
  <c r="J15" i="4"/>
  <c r="J16" i="4"/>
  <c r="J17" i="4"/>
  <c r="J18" i="4"/>
  <c r="J19" i="4"/>
  <c r="J20" i="4"/>
  <c r="N46" i="4" l="1"/>
  <c r="O46" i="4" s="1"/>
  <c r="O47" i="4" s="1"/>
  <c r="K11" i="4" s="1"/>
  <c r="N49" i="4"/>
  <c r="M13" i="4" s="1"/>
  <c r="N50" i="4"/>
  <c r="M14" i="4" s="1"/>
  <c r="N51" i="4"/>
  <c r="M15" i="4" s="1"/>
  <c r="N52" i="4"/>
  <c r="M16" i="4" s="1"/>
  <c r="N53" i="4"/>
  <c r="M17" i="4" s="1"/>
  <c r="N54" i="4"/>
  <c r="M18" i="4" s="1"/>
  <c r="N55" i="4"/>
  <c r="M19" i="4" s="1"/>
  <c r="N56" i="4"/>
  <c r="M20" i="4" s="1"/>
  <c r="N57" i="4"/>
  <c r="M21" i="4" s="1"/>
  <c r="N58" i="4"/>
  <c r="M22" i="4" s="1"/>
  <c r="N59" i="4"/>
  <c r="M23" i="4" s="1"/>
  <c r="N60" i="4"/>
  <c r="M24" i="4" s="1"/>
  <c r="N61" i="4"/>
  <c r="M25" i="4" s="1"/>
  <c r="N62" i="4"/>
  <c r="M26" i="4" s="1"/>
  <c r="N63" i="4"/>
  <c r="M27" i="4" s="1"/>
  <c r="N64" i="4"/>
  <c r="M28" i="4" s="1"/>
  <c r="N65" i="4"/>
  <c r="M29" i="4" s="1"/>
  <c r="N66" i="4"/>
  <c r="M30" i="4" s="1"/>
  <c r="N67" i="4"/>
  <c r="M31" i="4" s="1"/>
  <c r="N68" i="4"/>
  <c r="M32" i="4" s="1"/>
  <c r="N69" i="4"/>
  <c r="M33" i="4" s="1"/>
  <c r="N70" i="4"/>
  <c r="M34" i="4" s="1"/>
  <c r="K49" i="4"/>
  <c r="M49" i="4"/>
  <c r="P49" i="4" s="1"/>
  <c r="J76" i="4"/>
  <c r="I9" i="4"/>
  <c r="O48" i="4" l="1"/>
  <c r="N76" i="4"/>
  <c r="K50" i="4"/>
  <c r="M50" i="4"/>
  <c r="P50" i="4" s="1"/>
  <c r="O49" i="4" l="1"/>
  <c r="K12" i="4"/>
  <c r="K51" i="4"/>
  <c r="M51" i="4"/>
  <c r="P51" i="4" s="1"/>
  <c r="O50" i="4" l="1"/>
  <c r="K13" i="4"/>
  <c r="K52" i="4"/>
  <c r="M52" i="4"/>
  <c r="P52" i="4" s="1"/>
  <c r="R9" i="4"/>
  <c r="M47" i="4"/>
  <c r="R47" i="4" s="1"/>
  <c r="M48" i="4"/>
  <c r="R48" i="4" s="1"/>
  <c r="R49" i="4"/>
  <c r="R50" i="4"/>
  <c r="R51" i="4"/>
  <c r="I10" i="4"/>
  <c r="L10" i="4"/>
  <c r="M46" i="4" s="1"/>
  <c r="R52" i="4" l="1"/>
  <c r="K14" i="4"/>
  <c r="O51" i="4"/>
  <c r="K53" i="4"/>
  <c r="M53" i="4"/>
  <c r="P46" i="4"/>
  <c r="R46" i="4"/>
  <c r="N16" i="4"/>
  <c r="N15" i="4"/>
  <c r="N14" i="4"/>
  <c r="N13" i="4"/>
  <c r="P48" i="4"/>
  <c r="N12" i="4" s="1"/>
  <c r="P47" i="4"/>
  <c r="N11" i="4" s="1"/>
  <c r="K15" i="4" l="1"/>
  <c r="O52" i="4"/>
  <c r="P53" i="4"/>
  <c r="N17" i="4" s="1"/>
  <c r="O17" i="4" s="1"/>
  <c r="R53" i="4"/>
  <c r="K54" i="4"/>
  <c r="M54" i="4"/>
  <c r="O11" i="4"/>
  <c r="O12" i="4"/>
  <c r="O13" i="4"/>
  <c r="O14" i="4"/>
  <c r="O15" i="4"/>
  <c r="O16" i="4"/>
  <c r="G22" i="4"/>
  <c r="O9" i="4"/>
  <c r="H8" i="4"/>
  <c r="O53" i="4" l="1"/>
  <c r="K16" i="4"/>
  <c r="P34" i="4"/>
  <c r="P33" i="4"/>
  <c r="P32" i="4"/>
  <c r="P31" i="4"/>
  <c r="P30" i="4"/>
  <c r="P29" i="4"/>
  <c r="P28" i="4"/>
  <c r="P27" i="4"/>
  <c r="P26" i="4"/>
  <c r="P25" i="4"/>
  <c r="P24" i="4"/>
  <c r="P23" i="4"/>
  <c r="P22" i="4"/>
  <c r="P21" i="4"/>
  <c r="P54" i="4"/>
  <c r="N18" i="4" s="1"/>
  <c r="O18" i="4" s="1"/>
  <c r="R54" i="4"/>
  <c r="K55" i="4"/>
  <c r="M55" i="4"/>
  <c r="P20" i="4"/>
  <c r="P19" i="4"/>
  <c r="P18" i="4"/>
  <c r="P17" i="4"/>
  <c r="P16" i="4"/>
  <c r="P15" i="4"/>
  <c r="P14" i="4"/>
  <c r="P13" i="4"/>
  <c r="P12" i="4"/>
  <c r="P11" i="4"/>
  <c r="Q17" i="4"/>
  <c r="Q16" i="4"/>
  <c r="Q15" i="4"/>
  <c r="Q14" i="4"/>
  <c r="Q13" i="4"/>
  <c r="Q12" i="4"/>
  <c r="Q11" i="4"/>
  <c r="R11" i="4" s="1"/>
  <c r="N10" i="4"/>
  <c r="Q10" i="4" s="1"/>
  <c r="J10" i="4"/>
  <c r="R12" i="4" l="1"/>
  <c r="R16" i="4"/>
  <c r="R14" i="4"/>
  <c r="R15" i="4"/>
  <c r="R13" i="4"/>
  <c r="R17" i="4"/>
  <c r="Q18" i="4"/>
  <c r="R18" i="4" s="1"/>
  <c r="K17" i="4"/>
  <c r="O54" i="4"/>
  <c r="P55" i="4"/>
  <c r="N19" i="4" s="1"/>
  <c r="R55" i="4"/>
  <c r="K56" i="4"/>
  <c r="M56" i="4"/>
  <c r="M10" i="4"/>
  <c r="P10" i="4" s="1"/>
  <c r="R10" i="4" s="1"/>
  <c r="O55" i="4" l="1"/>
  <c r="K18" i="4"/>
  <c r="M39" i="4"/>
  <c r="O10" i="4"/>
  <c r="P56" i="4"/>
  <c r="N20" i="4" s="1"/>
  <c r="R56" i="4"/>
  <c r="K57" i="4"/>
  <c r="M57" i="4"/>
  <c r="O19" i="4"/>
  <c r="Q19" i="4"/>
  <c r="R19" i="4" s="1"/>
  <c r="P39" i="4"/>
  <c r="K10" i="4"/>
  <c r="O56" i="4" l="1"/>
  <c r="K19" i="4"/>
  <c r="P57" i="4"/>
  <c r="N21" i="4" s="1"/>
  <c r="R57" i="4"/>
  <c r="K58" i="4"/>
  <c r="M58" i="4"/>
  <c r="O20" i="4"/>
  <c r="Q20" i="4"/>
  <c r="K20" i="4" l="1"/>
  <c r="O57" i="4"/>
  <c r="R20" i="4"/>
  <c r="P58" i="4"/>
  <c r="N22" i="4" s="1"/>
  <c r="R58" i="4"/>
  <c r="K59" i="4"/>
  <c r="M59" i="4"/>
  <c r="O21" i="4"/>
  <c r="Q21" i="4"/>
  <c r="R21" i="4" s="1"/>
  <c r="K21" i="4" l="1"/>
  <c r="O58" i="4"/>
  <c r="P59" i="4"/>
  <c r="N23" i="4" s="1"/>
  <c r="R59" i="4"/>
  <c r="K60" i="4"/>
  <c r="M60" i="4"/>
  <c r="O22" i="4"/>
  <c r="Q22" i="4"/>
  <c r="R22" i="4" s="1"/>
  <c r="K22" i="4" l="1"/>
  <c r="O59" i="4"/>
  <c r="P60" i="4"/>
  <c r="N24" i="4" s="1"/>
  <c r="R60" i="4"/>
  <c r="K61" i="4"/>
  <c r="M61" i="4"/>
  <c r="O23" i="4"/>
  <c r="Q23" i="4"/>
  <c r="K23" i="4" l="1"/>
  <c r="O60" i="4"/>
  <c r="R23" i="4"/>
  <c r="P61" i="4"/>
  <c r="N25" i="4" s="1"/>
  <c r="R61" i="4"/>
  <c r="K62" i="4"/>
  <c r="M62" i="4"/>
  <c r="O24" i="4"/>
  <c r="Q24" i="4"/>
  <c r="R24" i="4" s="1"/>
  <c r="O61" i="4" l="1"/>
  <c r="K24" i="4"/>
  <c r="P62" i="4"/>
  <c r="N26" i="4" s="1"/>
  <c r="R62" i="4"/>
  <c r="K63" i="4"/>
  <c r="M63" i="4"/>
  <c r="O25" i="4"/>
  <c r="Q25" i="4"/>
  <c r="R25" i="4" s="1"/>
  <c r="O62" i="4" l="1"/>
  <c r="K25" i="4"/>
  <c r="P63" i="4"/>
  <c r="N27" i="4" s="1"/>
  <c r="R63" i="4"/>
  <c r="K64" i="4"/>
  <c r="M64" i="4"/>
  <c r="O26" i="4"/>
  <c r="Q26" i="4"/>
  <c r="O63" i="4" l="1"/>
  <c r="K26" i="4"/>
  <c r="R26" i="4"/>
  <c r="P64" i="4"/>
  <c r="N28" i="4" s="1"/>
  <c r="R64" i="4"/>
  <c r="K65" i="4"/>
  <c r="M65" i="4"/>
  <c r="O27" i="4"/>
  <c r="Q27" i="4"/>
  <c r="R27" i="4" s="1"/>
  <c r="K27" i="4" l="1"/>
  <c r="O64" i="4"/>
  <c r="P65" i="4"/>
  <c r="N29" i="4" s="1"/>
  <c r="R65" i="4"/>
  <c r="K66" i="4"/>
  <c r="M66" i="4"/>
  <c r="O28" i="4"/>
  <c r="Q28" i="4"/>
  <c r="R28" i="4" s="1"/>
  <c r="O65" i="4" l="1"/>
  <c r="K28" i="4"/>
  <c r="P66" i="4"/>
  <c r="N30" i="4" s="1"/>
  <c r="R66" i="4"/>
  <c r="K67" i="4"/>
  <c r="M67" i="4"/>
  <c r="O29" i="4"/>
  <c r="Q29" i="4"/>
  <c r="R29" i="4" s="1"/>
  <c r="K29" i="4" l="1"/>
  <c r="O66" i="4"/>
  <c r="P67" i="4"/>
  <c r="N31" i="4" s="1"/>
  <c r="R67" i="4"/>
  <c r="K68" i="4"/>
  <c r="M68" i="4"/>
  <c r="O30" i="4"/>
  <c r="Q30" i="4"/>
  <c r="R30" i="4" s="1"/>
  <c r="O67" i="4" l="1"/>
  <c r="K30" i="4"/>
  <c r="P68" i="4"/>
  <c r="N32" i="4" s="1"/>
  <c r="R68" i="4"/>
  <c r="K69" i="4"/>
  <c r="M69" i="4"/>
  <c r="O31" i="4"/>
  <c r="Q31" i="4"/>
  <c r="R31" i="4" s="1"/>
  <c r="K31" i="4" l="1"/>
  <c r="O68" i="4"/>
  <c r="P69" i="4"/>
  <c r="N33" i="4" s="1"/>
  <c r="R69" i="4"/>
  <c r="K70" i="4"/>
  <c r="M70" i="4"/>
  <c r="O32" i="4"/>
  <c r="Q32" i="4"/>
  <c r="R32" i="4" s="1"/>
  <c r="O69" i="4" l="1"/>
  <c r="K32" i="4"/>
  <c r="P70" i="4"/>
  <c r="N34" i="4" s="1"/>
  <c r="R70" i="4"/>
  <c r="O33" i="4"/>
  <c r="Q33" i="4"/>
  <c r="R33" i="4" s="1"/>
  <c r="O70" i="4" l="1"/>
  <c r="K33" i="4"/>
  <c r="O34" i="4"/>
  <c r="Q34" i="4"/>
  <c r="R34" i="4" s="1"/>
  <c r="K34" i="4" l="1"/>
  <c r="M76" i="4" l="1"/>
  <c r="N39" i="4" l="1"/>
  <c r="Q39" i="4" l="1"/>
  <c r="G16" i="4" l="1"/>
  <c r="G18" i="4" s="1"/>
  <c r="R39" i="4"/>
</calcChain>
</file>

<file path=xl/sharedStrings.xml><?xml version="1.0" encoding="utf-8"?>
<sst xmlns="http://schemas.openxmlformats.org/spreadsheetml/2006/main" count="98" uniqueCount="63">
  <si>
    <t>Calculador</t>
  </si>
  <si>
    <t>Capital</t>
  </si>
  <si>
    <t>Fecha de Pago</t>
  </si>
  <si>
    <t>Intereses</t>
  </si>
  <si>
    <t>Amortización</t>
  </si>
  <si>
    <t>TOTAL</t>
  </si>
  <si>
    <t>% sobre Emision Total</t>
  </si>
  <si>
    <t>TIR</t>
  </si>
  <si>
    <t>TNA</t>
  </si>
  <si>
    <t>Tasa mínima</t>
  </si>
  <si>
    <t>Tasa máxima</t>
  </si>
  <si>
    <t>Precio</t>
  </si>
  <si>
    <t>Fecha liquidación</t>
  </si>
  <si>
    <t xml:space="preserve">Duration </t>
  </si>
  <si>
    <t>Plazo</t>
  </si>
  <si>
    <t>Calificación de Riesgo</t>
  </si>
  <si>
    <t>Badlar BP + Margen</t>
  </si>
  <si>
    <t>Cantidad VN a Suscribir</t>
  </si>
  <si>
    <t>Margen Dif de Referencia</t>
  </si>
  <si>
    <t>Margen a licitar</t>
  </si>
  <si>
    <t>Cupón Variable</t>
  </si>
  <si>
    <t>La presente planilla de calculo (la "Planilla de Cálculo") ha sido puesta a disposición del destinatario del presente, en su carácter de interesado y eventual inversor (el "Interesado") solamente a modo ilustrativo y ejemplificativo. El Interesado deberá, a los efectos de la suscripción de los Valores Fiduciarios, basarse en sus propios cálculos y evaluación de los Términos y Condiciones de los Valores Fiduciarios descriptos en el Suplemento de Prospecto que ha tenido a su disposición, a fin de determinar el eventual rendimiento que podrían tener los Valores Fiduciarios. El Interesado deberá analizar cuidadosamente dicha información, junto con el Suplemento de Prospecto, y en particular las consideraciones de riesgo para la inversión. Se aclara que el uso de la Planilla de Calculo no es obligatorio para el Interesado, sino meramente orientativo, y que los resultados que ésta arroje no serán vinculantes; por tal motivo Banco Supervielle S.A. no asumirá responsabilidad alguna con motivo de cualquier error cometido en la realización de los cálculos respectivos ni por la variación del rendimiento de los Valores Fiduciarios en su interpretación por parte del Interesado, ni por cualquier otro  motivo.</t>
  </si>
  <si>
    <t>Cash Flow</t>
  </si>
  <si>
    <t>Días</t>
  </si>
  <si>
    <t>Valor Residual</t>
  </si>
  <si>
    <t>Cupón</t>
  </si>
  <si>
    <t>Capital residual</t>
  </si>
  <si>
    <t>Amortización %</t>
  </si>
  <si>
    <t>Intereses %</t>
  </si>
  <si>
    <t>Flujo %</t>
  </si>
  <si>
    <t>celdas para modificar</t>
  </si>
  <si>
    <t>Cifras expresadas en Pesos Argentinos</t>
  </si>
  <si>
    <t>Flujo</t>
  </si>
  <si>
    <t>Detalle de los VDF TV</t>
  </si>
  <si>
    <t>AAA(arg)</t>
  </si>
  <si>
    <t>* La tasa a devengar por los títulos tiene un mínimo de 20% y un máximo de 31%</t>
  </si>
  <si>
    <t>Slider</t>
  </si>
  <si>
    <t>* Los flujos originales son calculados sobre una base de tasa BADLAR Bancos Privados del 21%</t>
  </si>
  <si>
    <t>Badlar (estimada)</t>
  </si>
  <si>
    <t>Badlar de Referencia</t>
  </si>
  <si>
    <t>Respecto del calculador, se deberá considerar que la modificación al Margen Diferencial o la Badlar, puede implicar una variación del disponible para amortizar capital de los VDF</t>
  </si>
  <si>
    <t>FIDEICOMISO FINANCIERO SUPERVIELLE CRÉDITOS 89</t>
  </si>
  <si>
    <t>* Para el primer pago, los intereses se devengan desde la Fecha de Liquidación (16/09/2015) hasta el día inmediatamente anterior a la Primera Fecha de Pago de Servicios (20/10/2015). Para el resto de los pagos, los intereses se devengan desde la fecha de pago hasta el día inmediatamente anterior del próximo pago.</t>
  </si>
  <si>
    <t xml:space="preserve"> VALORES DE DEUDA FIDUCIARIA TASA VARIABLE</t>
  </si>
  <si>
    <t>Monto a Suscribir $</t>
  </si>
  <si>
    <t>CERTIFICADO DE PARTICIPACIÓN</t>
  </si>
  <si>
    <t>Detalle de los CP</t>
  </si>
  <si>
    <t>Cuadro Teórico de Pagos</t>
  </si>
  <si>
    <t>Rendimiento</t>
  </si>
  <si>
    <t>Cupón Fijo</t>
  </si>
  <si>
    <t>-</t>
  </si>
  <si>
    <t>Badlar BP</t>
  </si>
  <si>
    <t>Spread</t>
  </si>
  <si>
    <t xml:space="preserve">Monto a Suscribir $ </t>
  </si>
  <si>
    <t>BB+(arg)</t>
  </si>
  <si>
    <t>* Licita por Precio</t>
  </si>
  <si>
    <t>* Precio Mínimo 100%</t>
  </si>
  <si>
    <t>* El CP recibirá pagos una vez cancelado el VDF TV</t>
  </si>
  <si>
    <t>Respecto del calculador, se deberá considerar que la modificación al margen diferencial, la tasa Badlar, la incobrabilidad y/o las precancelaciones puede implicar una variación del inicio de la amortización, del monto amortizado o el rendimiento.</t>
  </si>
  <si>
    <t>Precio Min. CP</t>
  </si>
  <si>
    <t>TIR CP</t>
  </si>
  <si>
    <t xml:space="preserve">LOS CUADROS QUE ANTECEDEN CORRESPONDIENTE A LOS VALORES FIDUCIARIOS CONSTITUYEN UN CRONOGRAMA TEORICO Y ESTIMADO DE PAGO Y HA SIDO CALCULADO TOMANDO UN SUPUESTO DE UN 1,50% DE INCOBRABILIDAD Y UN 15% DE PRECANCELACIONES ANUALES PARA LOS PRIMEROS 4 MESES, 35% PARA LOS MESES 5 A 10, 50% PARA LOS MESES 11 A 20, 60% A PARTIR DEL MES 21. NO OBSTANTE PODRÍAN RESULTAR INDICES DIFERENTES DE INCOBRABILIDAD Y/O PRECANCELACIONES RESPECTO A LOS INDICES SUPUESTOS, MOTIVO POR EL CUAL, LOS VALORES INFORMADOS PODRÍAN MODIFICARSE. </t>
  </si>
  <si>
    <t>* Licita Margen Diferencial sobre BADLAR Bancos Privados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</si>
</sst>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4" formatCode="_ &quot;$&quot;\ * #,##0.00_ ;_ &quot;$&quot;\ * \-#,##0.00_ ;_ &quot;$&quot;\ * &quot;-&quot;??_ ;_ @_ "/>
    <numFmt numFmtId="43" formatCode="_ * #,##0.00_ ;_ * \-#,##0.00_ ;_ * &quot;-&quot;??_ ;_ @_ "/>
    <numFmt numFmtId="164" formatCode="_(* #,##0_);_(* \(#,##0\);_(* &quot;-&quot;_);_(@_)"/>
    <numFmt numFmtId="165" formatCode="_ * #,##0_ ;_ * \-#,##0_ ;_ * &quot;-&quot;??_ ;_ @_ "/>
    <numFmt numFmtId="166" formatCode="0.000%"/>
    <numFmt numFmtId="167" formatCode="0.0000%"/>
    <numFmt numFmtId="168" formatCode="dd\-mm\-yy;@"/>
    <numFmt numFmtId="169" formatCode="_ &quot;$&quot;\ * #,##0_ ;_ &quot;$&quot;\ * \-#,##0_ ;_ &quot;$&quot;\ * &quot;-&quot;??_ ;_ @_ "/>
    <numFmt numFmtId="170" formatCode="_ * #,##0.0000_ ;_ * \-#,##0.0000_ ;_ * &quot;-&quot;??_ ;_ @_ "/>
    <numFmt numFmtId="171" formatCode="0.00\ &quot;meses&quot;"/>
    <numFmt numFmtId="172" formatCode="0.0000"/>
    <numFmt numFmtId="173" formatCode="dd\-mmm\-yyyy"/>
  </numFmts>
  <fonts count="16" x14ac:knownFonts="1">
    <font>
      <sz val="10"/>
      <name val="Arial"/>
    </font>
    <font>
      <sz val="10"/>
      <name val="Arial"/>
      <family val="2"/>
    </font>
    <font>
      <sz val="9"/>
      <name val="Arial"/>
      <family val="2"/>
    </font>
    <font>
      <sz val="8"/>
      <name val="Arial"/>
      <family val="2"/>
    </font>
    <font>
      <b/>
      <sz val="9"/>
      <color theme="0"/>
      <name val="Verdana"/>
      <family val="2"/>
    </font>
    <font>
      <sz val="9"/>
      <color theme="1" tint="0.249977111117893"/>
      <name val="Verdana"/>
      <family val="2"/>
    </font>
    <font>
      <b/>
      <sz val="9"/>
      <color theme="1" tint="0.249977111117893"/>
      <name val="Verdana"/>
      <family val="2"/>
    </font>
    <font>
      <b/>
      <sz val="12"/>
      <color theme="1" tint="0.249977111117893"/>
      <name val="Verdana"/>
      <family val="2"/>
    </font>
    <font>
      <i/>
      <sz val="9"/>
      <color theme="1" tint="0.249977111117893"/>
      <name val="Verdana"/>
      <family val="2"/>
    </font>
    <font>
      <b/>
      <sz val="10"/>
      <color theme="1" tint="0.249977111117893"/>
      <name val="Verdana"/>
      <family val="2"/>
    </font>
    <font>
      <sz val="10"/>
      <color theme="1" tint="0.249977111117893"/>
      <name val="Arial"/>
      <family val="2"/>
    </font>
    <font>
      <sz val="9"/>
      <name val="Verdana"/>
      <family val="2"/>
    </font>
    <font>
      <b/>
      <sz val="9"/>
      <name val="Verdana"/>
      <family val="2"/>
    </font>
    <font>
      <i/>
      <sz val="9"/>
      <name val="Verdana"/>
      <family val="2"/>
    </font>
    <font>
      <sz val="9"/>
      <color theme="0"/>
      <name val="Verdana"/>
      <family val="2"/>
    </font>
    <font>
      <sz val="9"/>
      <color theme="2"/>
      <name val="Verdana"/>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59999389629810485"/>
        <bgColor indexed="64"/>
      </patternFill>
    </fill>
  </fills>
  <borders count="41">
    <border>
      <left/>
      <right/>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xf numFmtId="0" fontId="1" fillId="0" borderId="0"/>
  </cellStyleXfs>
  <cellXfs count="201">
    <xf numFmtId="0" fontId="0" fillId="0" borderId="0" xfId="0"/>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2" borderId="3" xfId="0" applyFont="1" applyFill="1" applyBorder="1" applyAlignment="1">
      <alignment vertical="center"/>
    </xf>
    <xf numFmtId="0" fontId="4" fillId="2" borderId="6" xfId="0" applyFont="1" applyFill="1" applyBorder="1" applyAlignment="1">
      <alignment horizontal="left" vertical="center"/>
    </xf>
    <xf numFmtId="0" fontId="4" fillId="2" borderId="4" xfId="0" applyFont="1" applyFill="1" applyBorder="1" applyAlignment="1">
      <alignmen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applyAlignment="1">
      <alignment horizontal="left" vertical="center"/>
    </xf>
    <xf numFmtId="0" fontId="5" fillId="3" borderId="0" xfId="0" applyFont="1" applyFill="1" applyBorder="1" applyAlignment="1">
      <alignment vertical="center"/>
    </xf>
    <xf numFmtId="166" fontId="5" fillId="3" borderId="0" xfId="4" applyNumberFormat="1" applyFont="1" applyFill="1" applyBorder="1" applyAlignment="1">
      <alignment horizontal="center" vertical="center"/>
    </xf>
    <xf numFmtId="164" fontId="5" fillId="3" borderId="0" xfId="3" applyNumberFormat="1" applyFont="1" applyFill="1" applyBorder="1" applyAlignment="1">
      <alignment vertical="center"/>
    </xf>
    <xf numFmtId="0" fontId="5" fillId="5" borderId="0" xfId="0" applyFont="1" applyFill="1" applyAlignment="1">
      <alignment vertical="center"/>
    </xf>
    <xf numFmtId="0" fontId="5" fillId="5" borderId="0" xfId="0" applyFont="1" applyFill="1" applyAlignment="1">
      <alignment horizontal="left" vertical="center"/>
    </xf>
    <xf numFmtId="0" fontId="5" fillId="3" borderId="0" xfId="0" applyFont="1" applyFill="1" applyAlignment="1">
      <alignment vertical="center"/>
    </xf>
    <xf numFmtId="0" fontId="8" fillId="5" borderId="1" xfId="0" applyFont="1" applyFill="1" applyBorder="1" applyAlignment="1">
      <alignment vertical="center"/>
    </xf>
    <xf numFmtId="169" fontId="6" fillId="3" borderId="2" xfId="2" applyNumberFormat="1" applyFont="1" applyFill="1" applyBorder="1" applyAlignment="1">
      <alignment horizontal="right" vertical="center"/>
    </xf>
    <xf numFmtId="165" fontId="6" fillId="4" borderId="5" xfId="1" applyNumberFormat="1" applyFont="1" applyFill="1" applyBorder="1" applyAlignment="1" applyProtection="1">
      <alignment horizontal="right" vertical="center"/>
      <protection locked="0"/>
    </xf>
    <xf numFmtId="167" fontId="5" fillId="5" borderId="0" xfId="4" applyNumberFormat="1" applyFont="1" applyFill="1" applyAlignment="1">
      <alignment horizontal="center" vertical="center"/>
    </xf>
    <xf numFmtId="0" fontId="6" fillId="3" borderId="9"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10" fontId="6" fillId="3" borderId="3" xfId="4" applyNumberFormat="1" applyFont="1" applyFill="1" applyBorder="1" applyAlignment="1">
      <alignment horizontal="right" vertical="center"/>
    </xf>
    <xf numFmtId="0" fontId="5" fillId="5" borderId="0" xfId="0" applyFont="1" applyFill="1" applyBorder="1" applyAlignment="1">
      <alignment vertical="center"/>
    </xf>
    <xf numFmtId="0" fontId="6" fillId="3" borderId="3" xfId="0" applyFont="1" applyFill="1" applyBorder="1" applyAlignment="1">
      <alignment horizontal="center" vertical="center"/>
    </xf>
    <xf numFmtId="10" fontId="6" fillId="3" borderId="5" xfId="4" applyNumberFormat="1" applyFont="1" applyFill="1" applyBorder="1" applyAlignment="1" applyProtection="1">
      <alignment horizontal="center" vertical="center"/>
      <protection locked="0"/>
    </xf>
    <xf numFmtId="15" fontId="5" fillId="3" borderId="12" xfId="0" applyNumberFormat="1" applyFont="1" applyFill="1" applyBorder="1" applyAlignment="1" applyProtection="1">
      <alignment horizontal="center" vertical="center"/>
    </xf>
    <xf numFmtId="1" fontId="5" fillId="3" borderId="0" xfId="0" applyNumberFormat="1" applyFont="1" applyFill="1" applyAlignment="1" applyProtection="1">
      <alignment horizontal="center" vertical="center"/>
    </xf>
    <xf numFmtId="10" fontId="5" fillId="3" borderId="12" xfId="4" applyNumberFormat="1" applyFont="1" applyFill="1" applyBorder="1" applyAlignment="1" applyProtection="1">
      <alignment horizontal="center" vertical="center"/>
    </xf>
    <xf numFmtId="10" fontId="5" fillId="3" borderId="20" xfId="4" applyNumberFormat="1" applyFont="1" applyFill="1" applyBorder="1" applyAlignment="1" applyProtection="1">
      <alignment horizontal="center" vertical="center"/>
    </xf>
    <xf numFmtId="167" fontId="5" fillId="3" borderId="13" xfId="4" applyNumberFormat="1" applyFont="1" applyFill="1" applyBorder="1" applyAlignment="1" applyProtection="1">
      <alignment horizontal="center" vertical="center"/>
    </xf>
    <xf numFmtId="10" fontId="5" fillId="3" borderId="20" xfId="0" applyNumberFormat="1" applyFont="1" applyFill="1" applyBorder="1" applyAlignment="1" applyProtection="1">
      <alignment horizontal="center" vertical="center"/>
    </xf>
    <xf numFmtId="165" fontId="5" fillId="3" borderId="21" xfId="1" applyNumberFormat="1" applyFont="1" applyFill="1" applyBorder="1" applyAlignment="1" applyProtection="1">
      <alignment horizontal="center" vertical="center"/>
    </xf>
    <xf numFmtId="165" fontId="5" fillId="3" borderId="13" xfId="1" applyNumberFormat="1" applyFont="1" applyFill="1" applyBorder="1" applyAlignment="1" applyProtection="1">
      <alignment horizontal="center" vertical="center"/>
    </xf>
    <xf numFmtId="3" fontId="5" fillId="3" borderId="14" xfId="0" applyNumberFormat="1" applyFont="1" applyFill="1" applyBorder="1" applyAlignment="1" applyProtection="1">
      <alignment horizontal="center" vertical="center"/>
    </xf>
    <xf numFmtId="165" fontId="5" fillId="3" borderId="0" xfId="0" applyNumberFormat="1" applyFont="1" applyFill="1" applyAlignment="1">
      <alignment vertical="center"/>
    </xf>
    <xf numFmtId="0" fontId="10" fillId="0" borderId="39" xfId="0" applyFont="1" applyBorder="1" applyAlignment="1">
      <alignment vertical="top"/>
    </xf>
    <xf numFmtId="173" fontId="6" fillId="3" borderId="3" xfId="0" applyNumberFormat="1" applyFont="1" applyFill="1" applyBorder="1" applyAlignment="1">
      <alignment horizontal="right" vertical="center"/>
    </xf>
    <xf numFmtId="171" fontId="6" fillId="3" borderId="3" xfId="3" applyNumberFormat="1" applyFont="1" applyFill="1" applyBorder="1" applyAlignment="1">
      <alignment horizontal="right" vertical="center"/>
    </xf>
    <xf numFmtId="10" fontId="6" fillId="3" borderId="5" xfId="0" applyNumberFormat="1" applyFont="1" applyFill="1" applyBorder="1" applyAlignment="1" applyProtection="1">
      <alignment horizontal="center" vertical="center"/>
    </xf>
    <xf numFmtId="171" fontId="6" fillId="3" borderId="0" xfId="3" applyNumberFormat="1" applyFont="1" applyFill="1" applyAlignment="1">
      <alignment horizontal="right" vertical="center"/>
    </xf>
    <xf numFmtId="0" fontId="6" fillId="3" borderId="6" xfId="0" applyFont="1" applyFill="1" applyBorder="1" applyAlignment="1">
      <alignment horizontal="right" vertical="center"/>
    </xf>
    <xf numFmtId="10" fontId="6" fillId="3" borderId="5" xfId="4" applyNumberFormat="1" applyFont="1" applyFill="1" applyBorder="1" applyAlignment="1">
      <alignment horizontal="center" vertical="center"/>
    </xf>
    <xf numFmtId="169" fontId="6" fillId="3" borderId="5" xfId="2" applyNumberFormat="1" applyFont="1" applyFill="1" applyBorder="1" applyAlignment="1">
      <alignment vertical="center"/>
    </xf>
    <xf numFmtId="0" fontId="5" fillId="3" borderId="0" xfId="0" applyFont="1" applyFill="1" applyBorder="1" applyAlignment="1">
      <alignment vertical="top"/>
    </xf>
    <xf numFmtId="0" fontId="5" fillId="3" borderId="0" xfId="0" applyFont="1" applyFill="1" applyBorder="1" applyAlignment="1">
      <alignment horizontal="left" vertical="center"/>
    </xf>
    <xf numFmtId="0" fontId="5" fillId="3" borderId="22"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19" xfId="0" applyFont="1" applyFill="1" applyBorder="1" applyAlignment="1" applyProtection="1">
      <alignment vertical="center"/>
    </xf>
    <xf numFmtId="10" fontId="6" fillId="3" borderId="9" xfId="4" applyNumberFormat="1" applyFont="1" applyFill="1" applyBorder="1" applyAlignment="1" applyProtection="1">
      <alignment horizontal="center" vertical="center"/>
    </xf>
    <xf numFmtId="10" fontId="6" fillId="3" borderId="10" xfId="4" applyNumberFormat="1" applyFont="1" applyFill="1" applyBorder="1" applyAlignment="1" applyProtection="1">
      <alignment horizontal="center" vertical="center"/>
    </xf>
    <xf numFmtId="165" fontId="6" fillId="3" borderId="15" xfId="0" applyNumberFormat="1" applyFont="1" applyFill="1" applyBorder="1" applyAlignment="1" applyProtection="1">
      <alignment vertical="center"/>
    </xf>
    <xf numFmtId="165" fontId="6" fillId="3" borderId="10" xfId="0" applyNumberFormat="1" applyFont="1" applyFill="1" applyBorder="1" applyAlignment="1" applyProtection="1">
      <alignment vertical="center"/>
    </xf>
    <xf numFmtId="3" fontId="6" fillId="3" borderId="19" xfId="0" applyNumberFormat="1" applyFont="1" applyFill="1" applyBorder="1" applyAlignment="1" applyProtection="1">
      <alignment horizontal="center" vertical="center"/>
    </xf>
    <xf numFmtId="3" fontId="6" fillId="5" borderId="0" xfId="0" applyNumberFormat="1" applyFont="1" applyFill="1" applyBorder="1" applyAlignment="1">
      <alignment horizontal="center" vertical="center"/>
    </xf>
    <xf numFmtId="0" fontId="6" fillId="3" borderId="0" xfId="0" applyFont="1" applyFill="1" applyAlignment="1">
      <alignment vertical="center"/>
    </xf>
    <xf numFmtId="3" fontId="5" fillId="3" borderId="0" xfId="0" applyNumberFormat="1" applyFont="1" applyFill="1" applyAlignment="1">
      <alignment vertical="center"/>
    </xf>
    <xf numFmtId="0" fontId="8" fillId="3" borderId="0" xfId="0" applyFont="1" applyFill="1" applyBorder="1" applyAlignment="1">
      <alignment horizontal="center" vertical="center"/>
    </xf>
    <xf numFmtId="172" fontId="5" fillId="3" borderId="0" xfId="0" applyNumberFormat="1" applyFont="1" applyFill="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0" xfId="0" applyFont="1" applyFill="1" applyBorder="1" applyAlignment="1">
      <alignment vertical="center"/>
    </xf>
    <xf numFmtId="0" fontId="5" fillId="3" borderId="19" xfId="0" applyFont="1" applyFill="1" applyBorder="1" applyAlignment="1">
      <alignment horizontal="center" vertical="center"/>
    </xf>
    <xf numFmtId="0" fontId="5" fillId="3" borderId="21" xfId="0" applyFont="1" applyFill="1" applyBorder="1" applyAlignment="1">
      <alignment vertical="center"/>
    </xf>
    <xf numFmtId="14" fontId="6" fillId="3" borderId="8" xfId="0" applyNumberFormat="1" applyFont="1" applyFill="1" applyBorder="1" applyAlignment="1">
      <alignment horizontal="right" vertical="center"/>
    </xf>
    <xf numFmtId="0" fontId="5" fillId="3" borderId="7" xfId="0" applyFont="1" applyFill="1" applyBorder="1" applyAlignment="1">
      <alignment vertical="center"/>
    </xf>
    <xf numFmtId="165" fontId="5" fillId="3" borderId="7" xfId="1" applyNumberFormat="1" applyFont="1" applyFill="1" applyBorder="1" applyAlignment="1">
      <alignment vertical="center"/>
    </xf>
    <xf numFmtId="165" fontId="6" fillId="3" borderId="7" xfId="1" applyNumberFormat="1" applyFont="1" applyFill="1" applyBorder="1" applyAlignment="1">
      <alignment horizontal="center" vertical="center"/>
    </xf>
    <xf numFmtId="3" fontId="5" fillId="3" borderId="7" xfId="1" applyNumberFormat="1" applyFont="1" applyFill="1" applyBorder="1" applyAlignment="1">
      <alignment horizontal="center" vertical="center"/>
    </xf>
    <xf numFmtId="172" fontId="5" fillId="3" borderId="7" xfId="0" applyNumberFormat="1" applyFont="1" applyFill="1" applyBorder="1" applyAlignment="1">
      <alignment vertical="center"/>
    </xf>
    <xf numFmtId="0" fontId="5" fillId="3" borderId="18" xfId="0" applyFont="1" applyFill="1" applyBorder="1" applyAlignment="1">
      <alignment vertical="center"/>
    </xf>
    <xf numFmtId="172" fontId="5" fillId="3" borderId="21" xfId="0" applyNumberFormat="1" applyFont="1" applyFill="1" applyBorder="1" applyAlignment="1">
      <alignment vertical="center"/>
    </xf>
    <xf numFmtId="1" fontId="5" fillId="3" borderId="13" xfId="1" applyNumberFormat="1" applyFont="1" applyFill="1" applyBorder="1" applyAlignment="1">
      <alignment horizontal="center" vertical="center"/>
    </xf>
    <xf numFmtId="3" fontId="5" fillId="3" borderId="13" xfId="0" applyNumberFormat="1" applyFont="1" applyFill="1" applyBorder="1" applyAlignment="1">
      <alignment vertical="center"/>
    </xf>
    <xf numFmtId="3" fontId="5" fillId="3" borderId="13" xfId="0" applyNumberFormat="1" applyFont="1" applyFill="1" applyBorder="1" applyAlignment="1">
      <alignment horizontal="center" vertical="center"/>
    </xf>
    <xf numFmtId="170" fontId="5" fillId="3" borderId="13" xfId="0" applyNumberFormat="1" applyFont="1" applyFill="1" applyBorder="1" applyAlignment="1">
      <alignment vertical="center"/>
    </xf>
    <xf numFmtId="172" fontId="5" fillId="3" borderId="13" xfId="0" applyNumberFormat="1" applyFont="1" applyFill="1" applyBorder="1" applyAlignment="1">
      <alignment vertical="center"/>
    </xf>
    <xf numFmtId="172" fontId="5" fillId="3" borderId="14" xfId="0" applyNumberFormat="1" applyFont="1" applyFill="1" applyBorder="1" applyAlignment="1">
      <alignment vertical="center"/>
    </xf>
    <xf numFmtId="4" fontId="5" fillId="3" borderId="0" xfId="0" applyNumberFormat="1" applyFont="1" applyFill="1" applyAlignment="1">
      <alignment vertical="center"/>
    </xf>
    <xf numFmtId="0" fontId="6" fillId="3" borderId="24" xfId="0" applyFont="1" applyFill="1" applyBorder="1" applyAlignment="1">
      <alignment vertical="center"/>
    </xf>
    <xf numFmtId="165" fontId="5" fillId="3" borderId="1" xfId="0" applyNumberFormat="1" applyFont="1" applyFill="1" applyBorder="1" applyAlignment="1">
      <alignment vertical="center"/>
    </xf>
    <xf numFmtId="0" fontId="5" fillId="3" borderId="1" xfId="0" applyFont="1" applyFill="1" applyBorder="1" applyAlignment="1">
      <alignment vertical="center"/>
    </xf>
    <xf numFmtId="3" fontId="5" fillId="3" borderId="25" xfId="0" applyNumberFormat="1" applyFont="1" applyFill="1" applyBorder="1" applyAlignment="1">
      <alignment horizontal="center" vertical="center"/>
    </xf>
    <xf numFmtId="3" fontId="5" fillId="3" borderId="26" xfId="0" applyNumberFormat="1" applyFont="1" applyFill="1" applyBorder="1" applyAlignment="1">
      <alignment horizontal="center" vertical="center"/>
    </xf>
    <xf numFmtId="170" fontId="5" fillId="3" borderId="27" xfId="0" applyNumberFormat="1" applyFont="1" applyFill="1" applyBorder="1" applyAlignment="1">
      <alignment vertical="center"/>
    </xf>
    <xf numFmtId="10" fontId="5" fillId="3" borderId="0" xfId="4" applyNumberFormat="1" applyFont="1" applyFill="1" applyAlignment="1">
      <alignment vertical="center"/>
    </xf>
    <xf numFmtId="10" fontId="5" fillId="3" borderId="0" xfId="0" applyNumberFormat="1" applyFont="1" applyFill="1" applyAlignment="1">
      <alignment vertical="center"/>
    </xf>
    <xf numFmtId="0" fontId="5" fillId="6" borderId="23" xfId="0" applyFont="1" applyFill="1" applyBorder="1" applyAlignment="1">
      <alignment vertical="center"/>
    </xf>
    <xf numFmtId="14" fontId="5" fillId="6" borderId="12" xfId="0" applyNumberFormat="1" applyFont="1" applyFill="1" applyBorder="1" applyAlignment="1">
      <alignment horizontal="center" vertical="center"/>
    </xf>
    <xf numFmtId="14" fontId="5" fillId="6" borderId="21" xfId="0" applyNumberFormat="1" applyFont="1" applyFill="1" applyBorder="1" applyAlignment="1">
      <alignment horizontal="center" vertical="center"/>
    </xf>
    <xf numFmtId="3" fontId="5" fillId="6" borderId="13" xfId="0" applyNumberFormat="1" applyFont="1" applyFill="1" applyBorder="1" applyAlignment="1">
      <alignment horizontal="center" vertical="center"/>
    </xf>
    <xf numFmtId="3" fontId="5" fillId="6" borderId="28" xfId="0" applyNumberFormat="1" applyFont="1" applyFill="1" applyBorder="1" applyAlignment="1">
      <alignment horizontal="center" vertical="center"/>
    </xf>
    <xf numFmtId="41" fontId="5" fillId="6" borderId="21" xfId="1" applyNumberFormat="1" applyFont="1" applyFill="1" applyBorder="1" applyAlignment="1">
      <alignment vertical="center"/>
    </xf>
    <xf numFmtId="41" fontId="5" fillId="6" borderId="0" xfId="1" applyNumberFormat="1" applyFont="1" applyFill="1" applyBorder="1" applyAlignment="1">
      <alignment vertical="center"/>
    </xf>
    <xf numFmtId="165" fontId="5" fillId="6" borderId="0" xfId="1" applyNumberFormat="1" applyFont="1" applyFill="1" applyBorder="1" applyAlignment="1">
      <alignment vertical="center"/>
    </xf>
    <xf numFmtId="0" fontId="6" fillId="3" borderId="0" xfId="0" applyFont="1" applyFill="1" applyAlignment="1">
      <alignment horizontal="right" vertical="center"/>
    </xf>
    <xf numFmtId="0" fontId="6" fillId="3" borderId="0" xfId="0" applyFont="1" applyFill="1" applyAlignment="1" applyProtection="1">
      <alignment horizontal="left" vertical="center"/>
      <protection locked="0"/>
    </xf>
    <xf numFmtId="0" fontId="6" fillId="3" borderId="0" xfId="0" applyFont="1" applyFill="1" applyBorder="1" applyAlignment="1">
      <alignment vertical="center" wrapText="1"/>
    </xf>
    <xf numFmtId="0" fontId="11" fillId="3" borderId="0" xfId="5" applyFont="1" applyFill="1" applyAlignment="1">
      <alignment horizontal="center" vertical="center"/>
    </xf>
    <xf numFmtId="0" fontId="12" fillId="3" borderId="0" xfId="5" applyFont="1" applyFill="1" applyAlignment="1">
      <alignment horizontal="center" vertical="center"/>
    </xf>
    <xf numFmtId="0" fontId="13" fillId="3" borderId="0" xfId="5" applyFont="1" applyFill="1" applyAlignment="1">
      <alignment horizontal="center" vertical="center"/>
    </xf>
    <xf numFmtId="0" fontId="11" fillId="3" borderId="0" xfId="5" applyFont="1" applyFill="1" applyBorder="1" applyAlignment="1">
      <alignment vertical="center"/>
    </xf>
    <xf numFmtId="10" fontId="11" fillId="3" borderId="0" xfId="4" applyNumberFormat="1" applyFont="1" applyFill="1" applyBorder="1" applyAlignment="1">
      <alignment horizontal="center" vertical="center"/>
    </xf>
    <xf numFmtId="164" fontId="11" fillId="3" borderId="0" xfId="3" applyNumberFormat="1" applyFont="1" applyFill="1" applyBorder="1" applyAlignment="1">
      <alignment vertical="center"/>
    </xf>
    <xf numFmtId="0" fontId="11" fillId="3" borderId="0" xfId="5" applyFont="1" applyFill="1" applyAlignment="1">
      <alignment horizontal="left" vertical="center"/>
    </xf>
    <xf numFmtId="166" fontId="11" fillId="3" borderId="0" xfId="4" applyNumberFormat="1" applyFont="1" applyFill="1" applyBorder="1" applyAlignment="1">
      <alignment horizontal="center" vertical="center"/>
    </xf>
    <xf numFmtId="0" fontId="11" fillId="3" borderId="0" xfId="5" applyFont="1" applyFill="1" applyAlignment="1">
      <alignment vertical="center"/>
    </xf>
    <xf numFmtId="3" fontId="11" fillId="3" borderId="0" xfId="5" applyNumberFormat="1" applyFont="1" applyFill="1" applyAlignment="1">
      <alignment vertical="center"/>
    </xf>
    <xf numFmtId="0" fontId="13" fillId="3" borderId="0" xfId="5" applyFont="1" applyFill="1" applyBorder="1" applyAlignment="1">
      <alignment horizontal="center" vertical="center"/>
    </xf>
    <xf numFmtId="172" fontId="11" fillId="3" borderId="0" xfId="5" applyNumberFormat="1" applyFont="1" applyFill="1" applyAlignment="1">
      <alignment vertical="center"/>
    </xf>
    <xf numFmtId="0" fontId="12" fillId="3" borderId="8" xfId="5" applyFont="1" applyFill="1" applyBorder="1" applyAlignment="1">
      <alignment horizontal="center" vertical="center"/>
    </xf>
    <xf numFmtId="0" fontId="12" fillId="3" borderId="7" xfId="5" applyFont="1" applyFill="1" applyBorder="1" applyAlignment="1">
      <alignment horizontal="center" vertical="center"/>
    </xf>
    <xf numFmtId="0" fontId="12" fillId="3" borderId="16" xfId="5" applyFont="1" applyFill="1" applyBorder="1" applyAlignment="1">
      <alignment horizontal="center" vertical="center"/>
    </xf>
    <xf numFmtId="0" fontId="11" fillId="3" borderId="0" xfId="5" applyFont="1" applyFill="1" applyAlignment="1">
      <alignment horizontal="right" vertical="center"/>
    </xf>
    <xf numFmtId="10" fontId="11" fillId="3" borderId="0" xfId="4" applyNumberFormat="1" applyFont="1" applyFill="1" applyAlignment="1">
      <alignment vertical="center"/>
    </xf>
    <xf numFmtId="14" fontId="12" fillId="3" borderId="8" xfId="5" applyNumberFormat="1" applyFont="1" applyFill="1" applyBorder="1" applyAlignment="1">
      <alignment horizontal="right" vertical="center"/>
    </xf>
    <xf numFmtId="165" fontId="12" fillId="3" borderId="17" xfId="1" applyNumberFormat="1" applyFont="1" applyFill="1" applyBorder="1" applyAlignment="1">
      <alignment horizontal="center" vertical="center"/>
    </xf>
    <xf numFmtId="165" fontId="12" fillId="3" borderId="7" xfId="1" applyNumberFormat="1" applyFont="1" applyFill="1" applyBorder="1" applyAlignment="1">
      <alignment horizontal="center" vertical="center"/>
    </xf>
    <xf numFmtId="165" fontId="11" fillId="3" borderId="18" xfId="1" applyNumberFormat="1" applyFont="1" applyFill="1" applyBorder="1" applyAlignment="1">
      <alignment vertical="center"/>
    </xf>
    <xf numFmtId="43" fontId="11" fillId="3" borderId="0" xfId="1" applyFont="1" applyFill="1" applyAlignment="1">
      <alignment vertical="center"/>
    </xf>
    <xf numFmtId="14" fontId="11" fillId="3" borderId="40" xfId="1" applyNumberFormat="1" applyFont="1" applyFill="1" applyBorder="1" applyAlignment="1">
      <alignment horizontal="center" vertical="center"/>
    </xf>
    <xf numFmtId="165" fontId="11" fillId="3" borderId="20" xfId="1" applyNumberFormat="1" applyFont="1" applyFill="1" applyBorder="1" applyAlignment="1">
      <alignment horizontal="center" vertical="center"/>
    </xf>
    <xf numFmtId="165" fontId="11" fillId="3" borderId="14" xfId="1" applyNumberFormat="1" applyFont="1" applyFill="1" applyBorder="1" applyAlignment="1">
      <alignment vertical="center"/>
    </xf>
    <xf numFmtId="165" fontId="11" fillId="3" borderId="0" xfId="5" applyNumberFormat="1" applyFont="1" applyFill="1" applyAlignment="1">
      <alignment vertical="center"/>
    </xf>
    <xf numFmtId="165" fontId="11" fillId="3" borderId="0" xfId="1" applyNumberFormat="1" applyFont="1" applyFill="1" applyBorder="1" applyAlignment="1">
      <alignment horizontal="center" vertical="center"/>
    </xf>
    <xf numFmtId="14" fontId="11" fillId="3" borderId="13" xfId="5" applyNumberFormat="1" applyFont="1" applyFill="1" applyBorder="1" applyAlignment="1">
      <alignment horizontal="center" vertical="center"/>
    </xf>
    <xf numFmtId="3" fontId="11" fillId="3" borderId="20" xfId="5" applyNumberFormat="1" applyFont="1" applyFill="1" applyBorder="1" applyAlignment="1">
      <alignment horizontal="center" vertical="center"/>
    </xf>
    <xf numFmtId="3" fontId="11" fillId="3" borderId="0" xfId="5" applyNumberFormat="1" applyFont="1" applyFill="1" applyBorder="1" applyAlignment="1">
      <alignment horizontal="center" vertical="center"/>
    </xf>
    <xf numFmtId="0" fontId="12" fillId="3" borderId="15" xfId="5" applyFont="1" applyFill="1" applyBorder="1" applyAlignment="1">
      <alignment vertical="center"/>
    </xf>
    <xf numFmtId="3" fontId="11" fillId="3" borderId="19" xfId="5" applyNumberFormat="1" applyFont="1" applyFill="1" applyBorder="1" applyAlignment="1">
      <alignment horizontal="center" vertical="center"/>
    </xf>
    <xf numFmtId="0" fontId="0" fillId="3" borderId="0" xfId="0" applyFill="1"/>
    <xf numFmtId="10" fontId="6" fillId="4" borderId="5" xfId="4" applyNumberFormat="1" applyFont="1" applyFill="1" applyBorder="1" applyAlignment="1" applyProtection="1">
      <alignment horizontal="center" vertical="center"/>
      <protection locked="0"/>
    </xf>
    <xf numFmtId="0" fontId="11" fillId="5" borderId="0" xfId="5" applyFont="1" applyFill="1" applyAlignment="1">
      <alignment vertical="center"/>
    </xf>
    <xf numFmtId="0" fontId="11" fillId="5" borderId="0" xfId="5" applyFont="1" applyFill="1" applyAlignment="1">
      <alignment horizontal="left" vertical="center"/>
    </xf>
    <xf numFmtId="0" fontId="13" fillId="5" borderId="1" xfId="5" applyFont="1" applyFill="1" applyBorder="1" applyAlignment="1">
      <alignment vertical="center"/>
    </xf>
    <xf numFmtId="3" fontId="12" fillId="5" borderId="0" xfId="5" applyNumberFormat="1" applyFont="1" applyFill="1" applyBorder="1" applyAlignment="1">
      <alignment horizontal="center" vertical="center"/>
    </xf>
    <xf numFmtId="0" fontId="11" fillId="5" borderId="0" xfId="5" applyFont="1" applyFill="1" applyBorder="1" applyAlignment="1">
      <alignment vertical="center"/>
    </xf>
    <xf numFmtId="10" fontId="11" fillId="5" borderId="0" xfId="5" applyNumberFormat="1" applyFont="1" applyFill="1" applyBorder="1" applyAlignment="1">
      <alignment vertical="center"/>
    </xf>
    <xf numFmtId="167" fontId="15" fillId="5" borderId="0" xfId="4" applyNumberFormat="1" applyFont="1" applyFill="1" applyAlignment="1">
      <alignment horizontal="center" vertical="center"/>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7" fillId="3"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2" xfId="0" applyFont="1" applyFill="1" applyBorder="1" applyAlignment="1">
      <alignment horizontal="center" vertical="center"/>
    </xf>
    <xf numFmtId="0" fontId="5" fillId="3" borderId="0" xfId="0" applyFont="1" applyFill="1" applyBorder="1" applyAlignment="1">
      <alignment horizontal="left" vertical="top" wrapText="1"/>
    </xf>
    <xf numFmtId="0" fontId="4" fillId="2" borderId="3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8" xfId="0" applyFont="1" applyFill="1" applyBorder="1" applyAlignment="1">
      <alignment horizontal="center" vertical="center"/>
    </xf>
    <xf numFmtId="10" fontId="9" fillId="4" borderId="36" xfId="4" applyNumberFormat="1" applyFont="1" applyFill="1" applyBorder="1" applyAlignment="1" applyProtection="1">
      <alignment horizontal="center" vertical="center"/>
    </xf>
    <xf numFmtId="10" fontId="9" fillId="4" borderId="37" xfId="4" applyNumberFormat="1" applyFont="1" applyFill="1" applyBorder="1" applyAlignment="1" applyProtection="1">
      <alignment horizontal="center" vertical="center"/>
    </xf>
    <xf numFmtId="0" fontId="6" fillId="3" borderId="33"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12" fillId="3" borderId="33" xfId="5" applyFont="1" applyFill="1" applyBorder="1" applyAlignment="1">
      <alignment horizontal="center" vertical="center" wrapText="1"/>
    </xf>
    <xf numFmtId="0" fontId="12" fillId="3" borderId="17" xfId="5" applyFont="1" applyFill="1" applyBorder="1" applyAlignment="1">
      <alignment horizontal="center" vertical="center" wrapText="1"/>
    </xf>
    <xf numFmtId="0" fontId="12" fillId="3" borderId="16" xfId="5" applyFont="1" applyFill="1" applyBorder="1" applyAlignment="1">
      <alignment horizontal="center" vertical="center" wrapText="1"/>
    </xf>
    <xf numFmtId="0" fontId="12" fillId="3" borderId="21" xfId="5" applyFont="1" applyFill="1" applyBorder="1" applyAlignment="1">
      <alignment horizontal="center" vertical="center" wrapText="1"/>
    </xf>
    <xf numFmtId="0" fontId="12" fillId="3" borderId="0" xfId="5" applyFont="1" applyFill="1" applyBorder="1" applyAlignment="1">
      <alignment horizontal="center" vertical="center" wrapText="1"/>
    </xf>
    <xf numFmtId="0" fontId="12" fillId="3" borderId="20" xfId="5" applyFont="1" applyFill="1" applyBorder="1" applyAlignment="1">
      <alignment horizontal="center" vertical="center" wrapText="1"/>
    </xf>
    <xf numFmtId="0" fontId="12" fillId="3" borderId="24" xfId="5" applyFont="1" applyFill="1" applyBorder="1" applyAlignment="1">
      <alignment horizontal="center" vertical="center" wrapText="1"/>
    </xf>
    <xf numFmtId="0" fontId="12" fillId="3" borderId="1" xfId="5" applyFont="1" applyFill="1" applyBorder="1" applyAlignment="1">
      <alignment horizontal="center" vertical="center" wrapText="1"/>
    </xf>
    <xf numFmtId="0" fontId="12" fillId="3" borderId="34" xfId="5" applyFont="1" applyFill="1" applyBorder="1" applyAlignment="1">
      <alignment horizontal="center" vertical="center" wrapText="1"/>
    </xf>
    <xf numFmtId="0" fontId="13" fillId="3" borderId="29" xfId="5" applyFont="1" applyFill="1" applyBorder="1" applyAlignment="1">
      <alignment horizontal="center" vertical="center" wrapText="1"/>
    </xf>
    <xf numFmtId="0" fontId="13" fillId="3" borderId="30" xfId="5" applyFont="1" applyFill="1" applyBorder="1" applyAlignment="1">
      <alignment horizontal="center" vertical="center" wrapText="1"/>
    </xf>
    <xf numFmtId="0" fontId="13" fillId="3" borderId="31" xfId="5" applyFont="1" applyFill="1" applyBorder="1" applyAlignment="1">
      <alignment horizontal="center" vertical="center" wrapText="1"/>
    </xf>
    <xf numFmtId="0" fontId="4" fillId="2" borderId="4" xfId="5" applyFont="1" applyFill="1" applyBorder="1" applyAlignment="1">
      <alignment horizontal="center" vertical="center"/>
    </xf>
    <xf numFmtId="0" fontId="4" fillId="2" borderId="32" xfId="5" applyFont="1" applyFill="1" applyBorder="1" applyAlignment="1">
      <alignment horizontal="center" vertical="center"/>
    </xf>
    <xf numFmtId="0" fontId="4" fillId="2" borderId="5" xfId="5" applyFont="1" applyFill="1" applyBorder="1" applyAlignment="1">
      <alignment horizontal="center" vertical="center"/>
    </xf>
    <xf numFmtId="168" fontId="4" fillId="3" borderId="12" xfId="0" applyNumberFormat="1" applyFont="1" applyFill="1" applyBorder="1" applyAlignment="1" applyProtection="1">
      <alignment horizontal="center" vertical="center"/>
    </xf>
    <xf numFmtId="0" fontId="14" fillId="3" borderId="0" xfId="0" applyFont="1" applyFill="1" applyAlignment="1" applyProtection="1">
      <alignment vertical="center"/>
    </xf>
    <xf numFmtId="0" fontId="14" fillId="3" borderId="8" xfId="0" applyFont="1" applyFill="1" applyBorder="1" applyAlignment="1" applyProtection="1">
      <alignment vertical="center"/>
    </xf>
    <xf numFmtId="0" fontId="14" fillId="3" borderId="20" xfId="0" applyFont="1" applyFill="1" applyBorder="1" applyAlignment="1" applyProtection="1">
      <alignment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10" fontId="4" fillId="3" borderId="20" xfId="0" applyNumberFormat="1" applyFont="1" applyFill="1" applyBorder="1" applyAlignment="1" applyProtection="1">
      <alignment horizontal="center" vertical="center"/>
    </xf>
    <xf numFmtId="10" fontId="4" fillId="3" borderId="21" xfId="0" applyNumberFormat="1" applyFont="1" applyFill="1" applyBorder="1" applyAlignment="1" applyProtection="1">
      <alignment horizontal="center" vertical="center"/>
    </xf>
    <xf numFmtId="10" fontId="4" fillId="3" borderId="13" xfId="0" applyNumberFormat="1" applyFont="1" applyFill="1" applyBorder="1" applyAlignment="1" applyProtection="1">
      <alignment horizontal="center" vertical="center"/>
    </xf>
    <xf numFmtId="3" fontId="4" fillId="3" borderId="18" xfId="0" applyNumberFormat="1" applyFont="1" applyFill="1" applyBorder="1" applyAlignment="1" applyProtection="1">
      <alignment horizontal="center" vertical="center"/>
    </xf>
    <xf numFmtId="0" fontId="6" fillId="3" borderId="9" xfId="5" applyFont="1" applyFill="1" applyBorder="1" applyAlignment="1">
      <alignment horizontal="center" vertical="center"/>
    </xf>
    <xf numFmtId="0" fontId="6" fillId="3" borderId="10" xfId="5" applyFont="1" applyFill="1" applyBorder="1" applyAlignment="1">
      <alignment horizontal="center" vertical="center"/>
    </xf>
    <xf numFmtId="0" fontId="6" fillId="3" borderId="11" xfId="5" applyFont="1" applyFill="1" applyBorder="1" applyAlignment="1">
      <alignment horizontal="center" vertical="center"/>
    </xf>
    <xf numFmtId="15" fontId="5" fillId="3" borderId="12" xfId="5" applyNumberFormat="1" applyFont="1" applyFill="1" applyBorder="1" applyAlignment="1">
      <alignment horizontal="center" vertical="center"/>
    </xf>
    <xf numFmtId="41" fontId="5" fillId="3" borderId="13" xfId="5" applyNumberFormat="1" applyFont="1" applyFill="1" applyBorder="1" applyAlignment="1">
      <alignment horizontal="center" vertical="center"/>
    </xf>
    <xf numFmtId="41" fontId="5" fillId="3" borderId="14" xfId="5" applyNumberFormat="1" applyFont="1" applyFill="1" applyBorder="1" applyAlignment="1">
      <alignment horizontal="center" vertical="center"/>
    </xf>
    <xf numFmtId="0" fontId="6" fillId="3" borderId="15" xfId="5" applyFont="1" applyFill="1" applyBorder="1" applyAlignment="1">
      <alignment horizontal="center" vertical="center"/>
    </xf>
    <xf numFmtId="3" fontId="6" fillId="3" borderId="10" xfId="5" applyNumberFormat="1" applyFont="1" applyFill="1" applyBorder="1" applyAlignment="1">
      <alignment horizontal="center" vertical="center"/>
    </xf>
    <xf numFmtId="3" fontId="6" fillId="3" borderId="19" xfId="5" applyNumberFormat="1" applyFont="1" applyFill="1" applyBorder="1" applyAlignment="1">
      <alignment horizontal="center" vertical="center"/>
    </xf>
    <xf numFmtId="0" fontId="8" fillId="5" borderId="1" xfId="5" applyFont="1" applyFill="1" applyBorder="1" applyAlignment="1">
      <alignment vertical="center"/>
    </xf>
    <xf numFmtId="0" fontId="7" fillId="3" borderId="0" xfId="5" applyFont="1" applyFill="1" applyAlignment="1">
      <alignment horizontal="center" vertical="center"/>
    </xf>
  </cellXfs>
  <cellStyles count="6">
    <cellStyle name="Millares" xfId="1" builtinId="3"/>
    <cellStyle name="Moneda" xfId="2" builtinId="4"/>
    <cellStyle name="Normal" xfId="0" builtinId="0"/>
    <cellStyle name="Normal 2" xfId="5"/>
    <cellStyle name="Normal_Análisis Estructura"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16" fmlaLink="D48" horiz="1" max="750" min="350" page="10" val="55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600566</xdr:colOff>
      <xdr:row>0</xdr:row>
      <xdr:rowOff>1</xdr:rowOff>
    </xdr:from>
    <xdr:to>
      <xdr:col>18</xdr:col>
      <xdr:colOff>10541</xdr:colOff>
      <xdr:row>3</xdr:row>
      <xdr:rowOff>84667</xdr:rowOff>
    </xdr:to>
    <xdr:pic>
      <xdr:nvPicPr>
        <xdr:cNvPr id="3" name="2 Imagen" descr="Nuevo Logo Supervielle.JPG"/>
        <xdr:cNvPicPr>
          <a:picLocks noChangeAspect="1"/>
        </xdr:cNvPicPr>
      </xdr:nvPicPr>
      <xdr:blipFill>
        <a:blip xmlns:r="http://schemas.openxmlformats.org/officeDocument/2006/relationships" r:embed="rId1" cstate="print"/>
        <a:stretch>
          <a:fillRect/>
        </a:stretch>
      </xdr:blipFill>
      <xdr:spPr>
        <a:xfrm>
          <a:off x="11363816" y="1"/>
          <a:ext cx="1378475" cy="5291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9525</xdr:colOff>
          <xdr:row>12</xdr:row>
          <xdr:rowOff>123825</xdr:rowOff>
        </xdr:from>
        <xdr:to>
          <xdr:col>6</xdr:col>
          <xdr:colOff>1104900</xdr:colOff>
          <xdr:row>13</xdr:row>
          <xdr:rowOff>133350</xdr:rowOff>
        </xdr:to>
        <xdr:sp macro="" textlink="">
          <xdr:nvSpPr>
            <xdr:cNvPr id="2049" name="Scroll Bar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984246</xdr:colOff>
      <xdr:row>0</xdr:row>
      <xdr:rowOff>0</xdr:rowOff>
    </xdr:from>
    <xdr:to>
      <xdr:col>14</xdr:col>
      <xdr:colOff>34387</xdr:colOff>
      <xdr:row>3</xdr:row>
      <xdr:rowOff>84667</xdr:rowOff>
    </xdr:to>
    <xdr:pic>
      <xdr:nvPicPr>
        <xdr:cNvPr id="2" name="2 Imagen" descr="Nuevo Logo Supervielle.JPG"/>
        <xdr:cNvPicPr>
          <a:picLocks noChangeAspect="1"/>
        </xdr:cNvPicPr>
      </xdr:nvPicPr>
      <xdr:blipFill>
        <a:blip xmlns:r="http://schemas.openxmlformats.org/officeDocument/2006/relationships" r:embed="rId1" cstate="print"/>
        <a:stretch>
          <a:fillRect/>
        </a:stretch>
      </xdr:blipFill>
      <xdr:spPr>
        <a:xfrm>
          <a:off x="10090146" y="0"/>
          <a:ext cx="1380592" cy="637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B1:X80"/>
  <sheetViews>
    <sheetView showRowColHeaders="0" tabSelected="1" zoomScale="90" zoomScaleNormal="90" zoomScaleSheetLayoutView="87" workbookViewId="0">
      <selection activeCell="G8" sqref="G8"/>
    </sheetView>
  </sheetViews>
  <sheetFormatPr baseColWidth="10" defaultColWidth="9.140625" defaultRowHeight="11.25" x14ac:dyDescent="0.2"/>
  <cols>
    <col min="1" max="1" width="1.7109375" style="15" customWidth="1"/>
    <col min="2" max="2" width="3.7109375" style="15" customWidth="1"/>
    <col min="3" max="3" width="26.7109375" style="15" customWidth="1"/>
    <col min="4" max="4" width="22.7109375" style="15" customWidth="1"/>
    <col min="5" max="5" width="1.7109375" style="15" customWidth="1"/>
    <col min="6" max="6" width="26.7109375" style="15" customWidth="1"/>
    <col min="7" max="7" width="16.7109375" style="15" customWidth="1"/>
    <col min="8" max="8" width="1.7109375" style="15" customWidth="1"/>
    <col min="9" max="9" width="15.7109375" style="15" customWidth="1"/>
    <col min="10" max="10" width="5.28515625" style="15" customWidth="1"/>
    <col min="11" max="11" width="14.7109375" style="15" customWidth="1"/>
    <col min="12" max="12" width="8.7109375" style="15" customWidth="1"/>
    <col min="13" max="15" width="14.7109375" style="15" hidden="1" customWidth="1"/>
    <col min="16" max="16" width="15.42578125" style="15" customWidth="1"/>
    <col min="17" max="18" width="14.7109375" style="15" customWidth="1"/>
    <col min="19" max="19" width="3.7109375" style="15" customWidth="1"/>
    <col min="20" max="20" width="1.7109375" style="15" customWidth="1"/>
    <col min="21" max="16384" width="9.140625" style="15"/>
  </cols>
  <sheetData>
    <row r="1" spans="2:24" s="7" customFormat="1" ht="12.6" customHeight="1" x14ac:dyDescent="0.2">
      <c r="N1" s="8"/>
    </row>
    <row r="2" spans="2:24" s="7" customFormat="1" ht="12.6" customHeight="1" x14ac:dyDescent="0.2">
      <c r="B2" s="146" t="s">
        <v>41</v>
      </c>
      <c r="C2" s="146"/>
      <c r="D2" s="146"/>
      <c r="E2" s="146"/>
      <c r="F2" s="146"/>
      <c r="G2" s="146"/>
      <c r="H2" s="146"/>
      <c r="I2" s="146"/>
      <c r="J2" s="146"/>
      <c r="K2" s="146"/>
      <c r="L2" s="146"/>
      <c r="M2" s="146"/>
      <c r="N2" s="146"/>
      <c r="O2" s="146"/>
      <c r="P2" s="146"/>
      <c r="Q2" s="146"/>
      <c r="R2" s="146"/>
      <c r="S2" s="146"/>
    </row>
    <row r="3" spans="2:24" s="7" customFormat="1" ht="12.6" customHeight="1" x14ac:dyDescent="0.2">
      <c r="B3" s="146" t="s">
        <v>43</v>
      </c>
      <c r="C3" s="146"/>
      <c r="D3" s="146"/>
      <c r="E3" s="146"/>
      <c r="F3" s="146"/>
      <c r="G3" s="146"/>
      <c r="H3" s="146"/>
      <c r="I3" s="146"/>
      <c r="J3" s="146"/>
      <c r="K3" s="146"/>
      <c r="L3" s="146"/>
      <c r="M3" s="146"/>
      <c r="N3" s="146"/>
      <c r="O3" s="146"/>
      <c r="P3" s="146"/>
      <c r="Q3" s="146"/>
      <c r="R3" s="146"/>
      <c r="S3" s="146"/>
    </row>
    <row r="4" spans="2:24" s="7" customFormat="1" ht="12.6" customHeight="1" x14ac:dyDescent="0.2">
      <c r="D4" s="9"/>
      <c r="E4" s="9"/>
      <c r="O4" s="10"/>
      <c r="P4" s="10"/>
      <c r="Q4" s="10"/>
      <c r="R4" s="11"/>
      <c r="S4" s="12"/>
    </row>
    <row r="5" spans="2:24" ht="12.6" customHeight="1" x14ac:dyDescent="0.2">
      <c r="B5" s="13"/>
      <c r="C5" s="13"/>
      <c r="D5" s="14"/>
      <c r="E5" s="14"/>
      <c r="F5" s="13"/>
      <c r="G5" s="13"/>
      <c r="H5" s="13"/>
      <c r="I5" s="13"/>
      <c r="J5" s="13"/>
      <c r="K5" s="13"/>
      <c r="L5" s="13"/>
      <c r="M5" s="13"/>
      <c r="N5" s="13"/>
      <c r="O5" s="13"/>
      <c r="P5" s="13"/>
      <c r="Q5" s="13"/>
      <c r="R5" s="13"/>
      <c r="S5" s="13"/>
    </row>
    <row r="6" spans="2:24" ht="12.6" customHeight="1" x14ac:dyDescent="0.2">
      <c r="B6" s="13"/>
      <c r="C6" s="147" t="s">
        <v>33</v>
      </c>
      <c r="D6" s="148"/>
      <c r="E6" s="14"/>
      <c r="F6" s="147" t="s">
        <v>0</v>
      </c>
      <c r="G6" s="148"/>
      <c r="H6" s="13"/>
      <c r="I6" s="147" t="s">
        <v>22</v>
      </c>
      <c r="J6" s="149"/>
      <c r="K6" s="149"/>
      <c r="L6" s="149"/>
      <c r="M6" s="149"/>
      <c r="N6" s="149"/>
      <c r="O6" s="149"/>
      <c r="P6" s="149"/>
      <c r="Q6" s="149"/>
      <c r="R6" s="148"/>
      <c r="S6" s="13"/>
    </row>
    <row r="7" spans="2:24" ht="12.6" customHeight="1" thickBot="1" x14ac:dyDescent="0.25">
      <c r="B7" s="13"/>
      <c r="C7" s="13"/>
      <c r="D7" s="14"/>
      <c r="E7" s="14"/>
      <c r="F7" s="13"/>
      <c r="G7" s="13"/>
      <c r="H7" s="13"/>
      <c r="I7" s="16" t="s">
        <v>31</v>
      </c>
      <c r="J7" s="16"/>
      <c r="K7" s="16"/>
      <c r="L7" s="16"/>
      <c r="M7" s="13"/>
      <c r="N7" s="13"/>
      <c r="O7" s="13"/>
      <c r="P7" s="13"/>
      <c r="Q7" s="13"/>
      <c r="R7" s="13"/>
      <c r="S7" s="13"/>
    </row>
    <row r="8" spans="2:24" ht="12.6" customHeight="1" thickBot="1" x14ac:dyDescent="0.25">
      <c r="B8" s="13"/>
      <c r="C8" s="1" t="s">
        <v>1</v>
      </c>
      <c r="D8" s="17">
        <v>240000000</v>
      </c>
      <c r="E8" s="14"/>
      <c r="F8" s="2" t="s">
        <v>17</v>
      </c>
      <c r="G8" s="18">
        <v>240000000</v>
      </c>
      <c r="H8" s="19" t="e">
        <f>+G8/L76</f>
        <v>#DIV/0!</v>
      </c>
      <c r="I8" s="20" t="s">
        <v>2</v>
      </c>
      <c r="J8" s="21" t="s">
        <v>23</v>
      </c>
      <c r="K8" s="20" t="s">
        <v>24</v>
      </c>
      <c r="L8" s="22" t="s">
        <v>25</v>
      </c>
      <c r="M8" s="20" t="s">
        <v>27</v>
      </c>
      <c r="N8" s="23" t="s">
        <v>28</v>
      </c>
      <c r="O8" s="22" t="s">
        <v>29</v>
      </c>
      <c r="P8" s="24" t="s">
        <v>4</v>
      </c>
      <c r="Q8" s="23" t="s">
        <v>3</v>
      </c>
      <c r="R8" s="25" t="s">
        <v>32</v>
      </c>
      <c r="S8" s="13"/>
    </row>
    <row r="9" spans="2:24" ht="12.6" customHeight="1" x14ac:dyDescent="0.2">
      <c r="B9" s="13"/>
      <c r="C9" s="3" t="s">
        <v>6</v>
      </c>
      <c r="D9" s="26">
        <v>0.96</v>
      </c>
      <c r="E9" s="14"/>
      <c r="F9" s="27"/>
      <c r="G9" s="27"/>
      <c r="H9" s="13"/>
      <c r="I9" s="180">
        <f>+D15</f>
        <v>42263</v>
      </c>
      <c r="J9" s="181"/>
      <c r="K9" s="182"/>
      <c r="L9" s="183"/>
      <c r="M9" s="184"/>
      <c r="N9" s="185"/>
      <c r="O9" s="186">
        <f>-G20</f>
        <v>-1</v>
      </c>
      <c r="P9" s="187"/>
      <c r="Q9" s="188"/>
      <c r="R9" s="189">
        <f>-G8</f>
        <v>-240000000</v>
      </c>
      <c r="S9" s="13"/>
    </row>
    <row r="10" spans="2:24" ht="12.6" customHeight="1" x14ac:dyDescent="0.2">
      <c r="B10" s="13"/>
      <c r="C10" s="3" t="s">
        <v>20</v>
      </c>
      <c r="D10" s="28" t="s">
        <v>16</v>
      </c>
      <c r="E10" s="14"/>
      <c r="F10" s="2" t="s">
        <v>38</v>
      </c>
      <c r="G10" s="29">
        <v>0.21</v>
      </c>
      <c r="H10" s="13"/>
      <c r="I10" s="30">
        <f t="shared" ref="I10:J22" si="0">+I46</f>
        <v>42297</v>
      </c>
      <c r="J10" s="31">
        <f t="shared" si="0"/>
        <v>34</v>
      </c>
      <c r="K10" s="32">
        <f>O46/100</f>
        <v>0.95957668749999991</v>
      </c>
      <c r="L10" s="33">
        <f t="shared" ref="L10:L34" si="1">+IF($D$13&gt;$G$10+$G$12, $D$13, IF($D$14&lt;$G$10+$G$12, $D$14, $G$10+$G$12))</f>
        <v>0.26500000000000001</v>
      </c>
      <c r="M10" s="32">
        <f>+N46/100</f>
        <v>4.0423312500000003E-2</v>
      </c>
      <c r="N10" s="34">
        <f>+P46/100</f>
        <v>2.4684931506849316E-2</v>
      </c>
      <c r="O10" s="35">
        <f t="shared" ref="O10:O22" si="2">+IF(I10&lt;$D$15, 0, M10+N10)</f>
        <v>6.5108244006849322E-2</v>
      </c>
      <c r="P10" s="36">
        <f t="shared" ref="P10:P34" si="3">+M10*$G$22</f>
        <v>9701595</v>
      </c>
      <c r="Q10" s="37">
        <f t="shared" ref="Q10:Q34" si="4">+N10*$G$22</f>
        <v>5924383.5616438361</v>
      </c>
      <c r="R10" s="38">
        <f>SUM(P10:Q10)</f>
        <v>15625978.561643835</v>
      </c>
      <c r="S10" s="13"/>
      <c r="X10" s="39"/>
    </row>
    <row r="11" spans="2:24" ht="12.6" customHeight="1" x14ac:dyDescent="0.2">
      <c r="B11" s="13"/>
      <c r="C11" s="3" t="s">
        <v>39</v>
      </c>
      <c r="D11" s="26">
        <v>0.21</v>
      </c>
      <c r="E11" s="14"/>
      <c r="F11" s="27"/>
      <c r="G11" s="27"/>
      <c r="H11" s="13"/>
      <c r="I11" s="30">
        <f t="shared" si="0"/>
        <v>42328</v>
      </c>
      <c r="J11" s="31">
        <f t="shared" si="0"/>
        <v>31</v>
      </c>
      <c r="K11" s="32">
        <f t="shared" ref="K11:K20" si="5">O47/100</f>
        <v>0.91805030833333334</v>
      </c>
      <c r="L11" s="33">
        <f t="shared" si="1"/>
        <v>0.26500000000000001</v>
      </c>
      <c r="M11" s="32">
        <f t="shared" ref="M11:M20" si="6">+N47/100</f>
        <v>4.1526379166666662E-2</v>
      </c>
      <c r="N11" s="34">
        <f t="shared" ref="N11:N20" si="7">+P47/100</f>
        <v>2.1597047911815069E-2</v>
      </c>
      <c r="O11" s="35">
        <f t="shared" si="2"/>
        <v>6.3123427078481731E-2</v>
      </c>
      <c r="P11" s="36">
        <f t="shared" si="3"/>
        <v>9966330.9999999981</v>
      </c>
      <c r="Q11" s="37">
        <f t="shared" si="4"/>
        <v>5183291.4988356167</v>
      </c>
      <c r="R11" s="38">
        <f t="shared" ref="R11:R20" si="8">SUM(P11:Q11)</f>
        <v>15149622.498835616</v>
      </c>
      <c r="S11" s="13"/>
      <c r="X11" s="39"/>
    </row>
    <row r="12" spans="2:24" ht="12.6" customHeight="1" x14ac:dyDescent="0.2">
      <c r="B12" s="13"/>
      <c r="C12" s="3" t="s">
        <v>18</v>
      </c>
      <c r="D12" s="26">
        <v>5.5E-2</v>
      </c>
      <c r="E12" s="13"/>
      <c r="F12" s="151" t="s">
        <v>19</v>
      </c>
      <c r="G12" s="154">
        <f>D48/10000</f>
        <v>5.5E-2</v>
      </c>
      <c r="H12" s="13"/>
      <c r="I12" s="30">
        <f t="shared" si="0"/>
        <v>42359</v>
      </c>
      <c r="J12" s="31">
        <f t="shared" si="0"/>
        <v>31</v>
      </c>
      <c r="K12" s="32">
        <f t="shared" si="5"/>
        <v>0.86348751666666668</v>
      </c>
      <c r="L12" s="33">
        <f t="shared" si="1"/>
        <v>0.26500000000000001</v>
      </c>
      <c r="M12" s="32">
        <f t="shared" si="6"/>
        <v>5.4562791666666666E-2</v>
      </c>
      <c r="N12" s="34">
        <f t="shared" si="7"/>
        <v>2.0662419953310508E-2</v>
      </c>
      <c r="O12" s="35">
        <f t="shared" si="2"/>
        <v>7.5225211619977167E-2</v>
      </c>
      <c r="P12" s="36">
        <f t="shared" si="3"/>
        <v>13095070</v>
      </c>
      <c r="Q12" s="37">
        <f t="shared" si="4"/>
        <v>4958980.7887945222</v>
      </c>
      <c r="R12" s="38">
        <f t="shared" si="8"/>
        <v>18054050.788794521</v>
      </c>
      <c r="S12" s="13"/>
      <c r="X12" s="39"/>
    </row>
    <row r="13" spans="2:24" ht="12.6" customHeight="1" x14ac:dyDescent="0.2">
      <c r="B13" s="13"/>
      <c r="C13" s="3" t="s">
        <v>9</v>
      </c>
      <c r="D13" s="26">
        <v>0.2</v>
      </c>
      <c r="E13" s="13"/>
      <c r="F13" s="152"/>
      <c r="G13" s="155"/>
      <c r="H13" s="13"/>
      <c r="I13" s="30">
        <f t="shared" si="0"/>
        <v>42389</v>
      </c>
      <c r="J13" s="31">
        <f t="shared" si="0"/>
        <v>30</v>
      </c>
      <c r="K13" s="32">
        <f t="shared" si="5"/>
        <v>0.80771440000000017</v>
      </c>
      <c r="L13" s="33">
        <f t="shared" si="1"/>
        <v>0.26500000000000001</v>
      </c>
      <c r="M13" s="32">
        <f t="shared" si="6"/>
        <v>5.5773116666666664E-2</v>
      </c>
      <c r="N13" s="34">
        <f t="shared" si="7"/>
        <v>1.8807467828767126E-2</v>
      </c>
      <c r="O13" s="35">
        <f t="shared" si="2"/>
        <v>7.4580584495433783E-2</v>
      </c>
      <c r="P13" s="36">
        <f t="shared" si="3"/>
        <v>13385548</v>
      </c>
      <c r="Q13" s="37">
        <f t="shared" si="4"/>
        <v>4513792.2789041102</v>
      </c>
      <c r="R13" s="38">
        <f t="shared" si="8"/>
        <v>17899340.27890411</v>
      </c>
      <c r="S13" s="13"/>
      <c r="X13" s="39"/>
    </row>
    <row r="14" spans="2:24" ht="12.6" customHeight="1" x14ac:dyDescent="0.2">
      <c r="B14" s="13"/>
      <c r="C14" s="3" t="s">
        <v>10</v>
      </c>
      <c r="D14" s="26">
        <v>0.31</v>
      </c>
      <c r="E14" s="13"/>
      <c r="F14" s="153"/>
      <c r="G14" s="40"/>
      <c r="H14" s="13"/>
      <c r="I14" s="30">
        <f t="shared" si="0"/>
        <v>42422</v>
      </c>
      <c r="J14" s="31">
        <f t="shared" si="0"/>
        <v>33</v>
      </c>
      <c r="K14" s="32">
        <f t="shared" si="5"/>
        <v>0.76135840833333346</v>
      </c>
      <c r="L14" s="33">
        <f t="shared" si="1"/>
        <v>0.26500000000000001</v>
      </c>
      <c r="M14" s="32">
        <f t="shared" si="6"/>
        <v>4.6355991666666665E-2</v>
      </c>
      <c r="N14" s="34">
        <f t="shared" si="7"/>
        <v>1.9351951857534248E-2</v>
      </c>
      <c r="O14" s="35">
        <f t="shared" si="2"/>
        <v>6.570794352420091E-2</v>
      </c>
      <c r="P14" s="36">
        <f t="shared" si="3"/>
        <v>11125438</v>
      </c>
      <c r="Q14" s="37">
        <f t="shared" si="4"/>
        <v>4644468.4458082197</v>
      </c>
      <c r="R14" s="38">
        <f t="shared" si="8"/>
        <v>15769906.445808221</v>
      </c>
      <c r="S14" s="13"/>
      <c r="X14" s="39"/>
    </row>
    <row r="15" spans="2:24" ht="12.6" customHeight="1" x14ac:dyDescent="0.2">
      <c r="B15" s="13"/>
      <c r="C15" s="3" t="s">
        <v>12</v>
      </c>
      <c r="D15" s="41">
        <v>42263</v>
      </c>
      <c r="E15" s="13"/>
      <c r="F15" s="27"/>
      <c r="G15" s="27"/>
      <c r="H15" s="13"/>
      <c r="I15" s="30">
        <f t="shared" si="0"/>
        <v>42450</v>
      </c>
      <c r="J15" s="31">
        <f t="shared" si="0"/>
        <v>28</v>
      </c>
      <c r="K15" s="32">
        <f t="shared" si="5"/>
        <v>0.71116412083333347</v>
      </c>
      <c r="L15" s="33">
        <f t="shared" si="1"/>
        <v>0.26500000000000001</v>
      </c>
      <c r="M15" s="32">
        <f t="shared" si="6"/>
        <v>5.0194287499999997E-2</v>
      </c>
      <c r="N15" s="34">
        <f t="shared" si="7"/>
        <v>1.5477477780365298E-2</v>
      </c>
      <c r="O15" s="35">
        <f t="shared" si="2"/>
        <v>6.5671765280365293E-2</v>
      </c>
      <c r="P15" s="36">
        <f t="shared" si="3"/>
        <v>12046629</v>
      </c>
      <c r="Q15" s="37">
        <f t="shared" si="4"/>
        <v>3714594.6672876715</v>
      </c>
      <c r="R15" s="38">
        <f t="shared" si="8"/>
        <v>15761223.667287672</v>
      </c>
      <c r="S15" s="13"/>
      <c r="X15" s="39"/>
    </row>
    <row r="16" spans="2:24" ht="12.6" customHeight="1" x14ac:dyDescent="0.2">
      <c r="B16" s="13"/>
      <c r="C16" s="4" t="s">
        <v>13</v>
      </c>
      <c r="D16" s="42">
        <v>9.99</v>
      </c>
      <c r="E16" s="13"/>
      <c r="F16" s="2" t="s">
        <v>7</v>
      </c>
      <c r="G16" s="43">
        <f>+XIRR(R9:R38,I9:I38,)</f>
        <v>0.29960893988609316</v>
      </c>
      <c r="H16" s="13"/>
      <c r="I16" s="30">
        <f t="shared" si="0"/>
        <v>42480</v>
      </c>
      <c r="J16" s="31">
        <f t="shared" si="0"/>
        <v>30</v>
      </c>
      <c r="K16" s="32">
        <f t="shared" si="5"/>
        <v>0.66585867500000007</v>
      </c>
      <c r="L16" s="33">
        <f t="shared" si="1"/>
        <v>0.26500000000000001</v>
      </c>
      <c r="M16" s="32">
        <f t="shared" si="6"/>
        <v>4.5305445833333333E-2</v>
      </c>
      <c r="N16" s="34">
        <f t="shared" si="7"/>
        <v>1.5489739070205479E-2</v>
      </c>
      <c r="O16" s="35">
        <f t="shared" si="2"/>
        <v>6.0795184903538815E-2</v>
      </c>
      <c r="P16" s="36">
        <f t="shared" si="3"/>
        <v>10873307</v>
      </c>
      <c r="Q16" s="37">
        <f t="shared" si="4"/>
        <v>3717537.3768493151</v>
      </c>
      <c r="R16" s="38">
        <f t="shared" si="8"/>
        <v>14590844.376849316</v>
      </c>
      <c r="S16" s="13"/>
      <c r="X16" s="39"/>
    </row>
    <row r="17" spans="2:24" ht="12.6" customHeight="1" x14ac:dyDescent="0.2">
      <c r="B17" s="13"/>
      <c r="C17" s="4" t="s">
        <v>14</v>
      </c>
      <c r="D17" s="44">
        <v>25.15</v>
      </c>
      <c r="E17" s="13"/>
      <c r="F17" s="27"/>
      <c r="G17" s="27"/>
      <c r="H17" s="13"/>
      <c r="I17" s="30">
        <f t="shared" si="0"/>
        <v>42510</v>
      </c>
      <c r="J17" s="31">
        <f t="shared" si="0"/>
        <v>30</v>
      </c>
      <c r="K17" s="32">
        <f t="shared" si="5"/>
        <v>0.62166282916666671</v>
      </c>
      <c r="L17" s="33">
        <f t="shared" si="1"/>
        <v>0.26500000000000001</v>
      </c>
      <c r="M17" s="32">
        <f t="shared" si="6"/>
        <v>4.419584583333333E-2</v>
      </c>
      <c r="N17" s="34">
        <f t="shared" si="7"/>
        <v>1.4502949222602739E-2</v>
      </c>
      <c r="O17" s="35">
        <f t="shared" si="2"/>
        <v>5.8698795055936073E-2</v>
      </c>
      <c r="P17" s="36">
        <f t="shared" si="3"/>
        <v>10607003</v>
      </c>
      <c r="Q17" s="37">
        <f t="shared" si="4"/>
        <v>3480707.8134246576</v>
      </c>
      <c r="R17" s="38">
        <f t="shared" si="8"/>
        <v>14087710.813424658</v>
      </c>
      <c r="S17" s="13"/>
      <c r="X17" s="39"/>
    </row>
    <row r="18" spans="2:24" ht="12.6" customHeight="1" x14ac:dyDescent="0.2">
      <c r="B18" s="13"/>
      <c r="C18" s="5" t="s">
        <v>15</v>
      </c>
      <c r="D18" s="45" t="s">
        <v>34</v>
      </c>
      <c r="E18" s="13"/>
      <c r="F18" s="2" t="s">
        <v>8</v>
      </c>
      <c r="G18" s="46">
        <f>NOMINAL(G16,12)</f>
        <v>0.26494589989092887</v>
      </c>
      <c r="H18" s="13"/>
      <c r="I18" s="30">
        <f t="shared" si="0"/>
        <v>42541</v>
      </c>
      <c r="J18" s="31">
        <f t="shared" si="0"/>
        <v>31</v>
      </c>
      <c r="K18" s="32">
        <f t="shared" si="5"/>
        <v>0.56666980416666679</v>
      </c>
      <c r="L18" s="33">
        <f t="shared" si="1"/>
        <v>0.26500000000000001</v>
      </c>
      <c r="M18" s="32">
        <f t="shared" si="6"/>
        <v>5.4993025000000001E-2</v>
      </c>
      <c r="N18" s="34">
        <f t="shared" si="7"/>
        <v>1.3991671620833335E-2</v>
      </c>
      <c r="O18" s="35">
        <f t="shared" si="2"/>
        <v>6.8984696620833341E-2</v>
      </c>
      <c r="P18" s="36">
        <f t="shared" si="3"/>
        <v>13198326</v>
      </c>
      <c r="Q18" s="37">
        <f t="shared" si="4"/>
        <v>3358001.1890000002</v>
      </c>
      <c r="R18" s="38">
        <f t="shared" si="8"/>
        <v>16556327.188999999</v>
      </c>
      <c r="S18" s="13"/>
      <c r="X18" s="39"/>
    </row>
    <row r="19" spans="2:24" ht="12.6" customHeight="1" x14ac:dyDescent="0.2">
      <c r="B19" s="13"/>
      <c r="C19" s="13"/>
      <c r="D19" s="13"/>
      <c r="E19" s="13"/>
      <c r="F19" s="27"/>
      <c r="G19" s="27"/>
      <c r="H19" s="13"/>
      <c r="I19" s="30">
        <f t="shared" si="0"/>
        <v>42571</v>
      </c>
      <c r="J19" s="31">
        <f t="shared" si="0"/>
        <v>30</v>
      </c>
      <c r="K19" s="32">
        <f t="shared" si="5"/>
        <v>0.51728329583333343</v>
      </c>
      <c r="L19" s="33">
        <f t="shared" si="1"/>
        <v>0.26500000000000001</v>
      </c>
      <c r="M19" s="32">
        <f t="shared" si="6"/>
        <v>4.9386508333333336E-2</v>
      </c>
      <c r="N19" s="34">
        <f t="shared" si="7"/>
        <v>1.2342534090753426E-2</v>
      </c>
      <c r="O19" s="35">
        <f t="shared" si="2"/>
        <v>6.1729042424086764E-2</v>
      </c>
      <c r="P19" s="36">
        <f t="shared" si="3"/>
        <v>11852762</v>
      </c>
      <c r="Q19" s="37">
        <f t="shared" si="4"/>
        <v>2962208.1817808221</v>
      </c>
      <c r="R19" s="38">
        <f t="shared" si="8"/>
        <v>14814970.181780823</v>
      </c>
      <c r="S19" s="13"/>
      <c r="X19" s="39"/>
    </row>
    <row r="20" spans="2:24" ht="12.6" customHeight="1" x14ac:dyDescent="0.2">
      <c r="B20" s="13"/>
      <c r="C20" s="13"/>
      <c r="D20" s="13"/>
      <c r="E20" s="13"/>
      <c r="F20" s="2" t="s">
        <v>11</v>
      </c>
      <c r="G20" s="46">
        <v>1</v>
      </c>
      <c r="H20" s="13"/>
      <c r="I20" s="30">
        <f t="shared" si="0"/>
        <v>42604</v>
      </c>
      <c r="J20" s="31">
        <f t="shared" si="0"/>
        <v>33</v>
      </c>
      <c r="K20" s="32">
        <f t="shared" si="5"/>
        <v>0.46995311250000005</v>
      </c>
      <c r="L20" s="33">
        <f t="shared" si="1"/>
        <v>0.26500000000000001</v>
      </c>
      <c r="M20" s="32">
        <f t="shared" si="6"/>
        <v>4.7330183333333331E-2</v>
      </c>
      <c r="N20" s="34">
        <f t="shared" si="7"/>
        <v>1.2393540882363017E-2</v>
      </c>
      <c r="O20" s="35">
        <f t="shared" si="2"/>
        <v>5.9723724215696349E-2</v>
      </c>
      <c r="P20" s="36">
        <f t="shared" si="3"/>
        <v>11359244</v>
      </c>
      <c r="Q20" s="37">
        <f t="shared" si="4"/>
        <v>2974449.8117671241</v>
      </c>
      <c r="R20" s="38">
        <f t="shared" si="8"/>
        <v>14333693.811767124</v>
      </c>
      <c r="S20" s="13"/>
      <c r="X20" s="39"/>
    </row>
    <row r="21" spans="2:24" ht="12.6" customHeight="1" x14ac:dyDescent="0.2">
      <c r="B21" s="13"/>
      <c r="C21" s="13"/>
      <c r="D21" s="13"/>
      <c r="E21" s="13"/>
      <c r="F21" s="27"/>
      <c r="G21" s="27"/>
      <c r="H21" s="13"/>
      <c r="I21" s="30">
        <f t="shared" si="0"/>
        <v>42633</v>
      </c>
      <c r="J21" s="31">
        <f t="shared" si="0"/>
        <v>29</v>
      </c>
      <c r="K21" s="32">
        <f t="shared" ref="K21:K34" si="9">O57/100</f>
        <v>0.42190413333333338</v>
      </c>
      <c r="L21" s="33">
        <f t="shared" si="1"/>
        <v>0.26500000000000001</v>
      </c>
      <c r="M21" s="32">
        <f t="shared" ref="M21:M34" si="10">+N57/100</f>
        <v>4.8048979166666665E-2</v>
      </c>
      <c r="N21" s="34">
        <f t="shared" ref="N21:N34" si="11">+P57/100</f>
        <v>9.8947662179794532E-3</v>
      </c>
      <c r="O21" s="35">
        <f t="shared" si="2"/>
        <v>5.7943745384646118E-2</v>
      </c>
      <c r="P21" s="36">
        <f t="shared" si="3"/>
        <v>11531755</v>
      </c>
      <c r="Q21" s="37">
        <f t="shared" si="4"/>
        <v>2374743.8923150687</v>
      </c>
      <c r="R21" s="38">
        <f>SUM(P21:Q21)</f>
        <v>13906498.892315069</v>
      </c>
      <c r="S21" s="13"/>
      <c r="X21" s="39"/>
    </row>
    <row r="22" spans="2:24" ht="12.6" customHeight="1" x14ac:dyDescent="0.2">
      <c r="B22" s="13"/>
      <c r="C22" s="13"/>
      <c r="D22" s="13"/>
      <c r="E22" s="13"/>
      <c r="F22" s="6" t="s">
        <v>44</v>
      </c>
      <c r="G22" s="47">
        <f>+G8*G20</f>
        <v>240000000</v>
      </c>
      <c r="H22" s="13"/>
      <c r="I22" s="30">
        <f t="shared" si="0"/>
        <v>42663</v>
      </c>
      <c r="J22" s="31">
        <f t="shared" si="0"/>
        <v>30</v>
      </c>
      <c r="K22" s="32">
        <f t="shared" si="9"/>
        <v>0.37837097083333338</v>
      </c>
      <c r="L22" s="33">
        <f t="shared" si="1"/>
        <v>0.26500000000000001</v>
      </c>
      <c r="M22" s="32">
        <f t="shared" si="10"/>
        <v>4.35331625E-2</v>
      </c>
      <c r="N22" s="34">
        <f t="shared" si="11"/>
        <v>9.1894187945205479E-3</v>
      </c>
      <c r="O22" s="35">
        <f t="shared" si="2"/>
        <v>5.2722581294520551E-2</v>
      </c>
      <c r="P22" s="36">
        <f t="shared" si="3"/>
        <v>10447959</v>
      </c>
      <c r="Q22" s="37">
        <f t="shared" si="4"/>
        <v>2205460.5106849317</v>
      </c>
      <c r="R22" s="38">
        <f>SUM(P22:Q22)</f>
        <v>12653419.510684932</v>
      </c>
      <c r="S22" s="13"/>
      <c r="X22" s="39"/>
    </row>
    <row r="23" spans="2:24" ht="12.6" customHeight="1" x14ac:dyDescent="0.2">
      <c r="B23" s="13"/>
      <c r="C23" s="13"/>
      <c r="D23" s="13"/>
      <c r="E23" s="13"/>
      <c r="F23" s="13"/>
      <c r="G23" s="13"/>
      <c r="H23" s="13"/>
      <c r="I23" s="30">
        <f t="shared" ref="I23:J34" si="12">+I59</f>
        <v>42695</v>
      </c>
      <c r="J23" s="31">
        <f t="shared" si="12"/>
        <v>32</v>
      </c>
      <c r="K23" s="32">
        <f t="shared" si="9"/>
        <v>0.33720744166666677</v>
      </c>
      <c r="L23" s="33">
        <f t="shared" si="1"/>
        <v>0.26500000000000001</v>
      </c>
      <c r="M23" s="32">
        <f t="shared" si="10"/>
        <v>4.1163529166666664E-2</v>
      </c>
      <c r="N23" s="34">
        <f t="shared" si="11"/>
        <v>8.790646116894979E-3</v>
      </c>
      <c r="O23" s="35">
        <f t="shared" ref="O23:O34" si="13">+IF(I23&lt;$D$15, 0, M23+N23)</f>
        <v>4.9954175283561643E-2</v>
      </c>
      <c r="P23" s="36">
        <f t="shared" si="3"/>
        <v>9879247</v>
      </c>
      <c r="Q23" s="37">
        <f t="shared" si="4"/>
        <v>2109755.0680547948</v>
      </c>
      <c r="R23" s="38">
        <f t="shared" ref="R23:R34" si="14">SUM(P23:Q23)</f>
        <v>11989002.068054795</v>
      </c>
      <c r="S23" s="13"/>
      <c r="X23" s="39"/>
    </row>
    <row r="24" spans="2:24" ht="12.6" customHeight="1" x14ac:dyDescent="0.2">
      <c r="D24" s="48"/>
      <c r="E24" s="48"/>
      <c r="F24" s="48"/>
      <c r="G24" s="48"/>
      <c r="H24" s="13"/>
      <c r="I24" s="30">
        <f t="shared" si="12"/>
        <v>42724</v>
      </c>
      <c r="J24" s="31">
        <f t="shared" si="12"/>
        <v>29</v>
      </c>
      <c r="K24" s="32">
        <f t="shared" si="9"/>
        <v>0.29698239166666679</v>
      </c>
      <c r="L24" s="33">
        <f t="shared" si="1"/>
        <v>0.26500000000000001</v>
      </c>
      <c r="M24" s="32">
        <f t="shared" si="10"/>
        <v>4.0225049999999998E-2</v>
      </c>
      <c r="N24" s="34">
        <f t="shared" si="11"/>
        <v>7.0998333950913249E-3</v>
      </c>
      <c r="O24" s="35">
        <f t="shared" si="13"/>
        <v>4.7324883395091326E-2</v>
      </c>
      <c r="P24" s="36">
        <f t="shared" si="3"/>
        <v>9654012</v>
      </c>
      <c r="Q24" s="37">
        <f t="shared" si="4"/>
        <v>1703960.014821918</v>
      </c>
      <c r="R24" s="38">
        <f t="shared" si="14"/>
        <v>11357972.014821919</v>
      </c>
      <c r="S24" s="13"/>
      <c r="X24" s="39"/>
    </row>
    <row r="25" spans="2:24" ht="12.6" customHeight="1" x14ac:dyDescent="0.2">
      <c r="C25" s="150" t="s">
        <v>42</v>
      </c>
      <c r="D25" s="150"/>
      <c r="E25" s="150"/>
      <c r="F25" s="150"/>
      <c r="G25" s="150"/>
      <c r="H25" s="13"/>
      <c r="I25" s="30">
        <f t="shared" si="12"/>
        <v>42755</v>
      </c>
      <c r="J25" s="31">
        <f t="shared" si="12"/>
        <v>31</v>
      </c>
      <c r="K25" s="32">
        <f t="shared" si="9"/>
        <v>0.25917580416666675</v>
      </c>
      <c r="L25" s="33">
        <f t="shared" si="1"/>
        <v>0.26500000000000001</v>
      </c>
      <c r="M25" s="32">
        <f t="shared" si="10"/>
        <v>3.7806587500000002E-2</v>
      </c>
      <c r="N25" s="34">
        <f t="shared" si="11"/>
        <v>6.6841379384703194E-3</v>
      </c>
      <c r="O25" s="35">
        <f t="shared" si="13"/>
        <v>4.4490725438470324E-2</v>
      </c>
      <c r="P25" s="36">
        <f t="shared" si="3"/>
        <v>9073581</v>
      </c>
      <c r="Q25" s="37">
        <f t="shared" si="4"/>
        <v>1604193.1052328767</v>
      </c>
      <c r="R25" s="38">
        <f t="shared" si="14"/>
        <v>10677774.105232876</v>
      </c>
      <c r="S25" s="13"/>
      <c r="X25" s="39"/>
    </row>
    <row r="26" spans="2:24" ht="12.6" customHeight="1" x14ac:dyDescent="0.2">
      <c r="C26" s="150"/>
      <c r="D26" s="150"/>
      <c r="E26" s="150"/>
      <c r="F26" s="150"/>
      <c r="G26" s="150"/>
      <c r="H26" s="13"/>
      <c r="I26" s="30">
        <f t="shared" si="12"/>
        <v>42786</v>
      </c>
      <c r="J26" s="31">
        <f t="shared" si="12"/>
        <v>31</v>
      </c>
      <c r="K26" s="32">
        <f t="shared" si="9"/>
        <v>0.22293310416666678</v>
      </c>
      <c r="L26" s="33">
        <f t="shared" si="1"/>
        <v>0.26500000000000001</v>
      </c>
      <c r="M26" s="32">
        <f t="shared" si="10"/>
        <v>3.6242700000000003E-2</v>
      </c>
      <c r="N26" s="34">
        <f t="shared" si="11"/>
        <v>5.8332307704908673E-3</v>
      </c>
      <c r="O26" s="35">
        <f t="shared" si="13"/>
        <v>4.207593077049087E-2</v>
      </c>
      <c r="P26" s="36">
        <f t="shared" si="3"/>
        <v>8698248</v>
      </c>
      <c r="Q26" s="37">
        <f t="shared" si="4"/>
        <v>1399975.3849178082</v>
      </c>
      <c r="R26" s="38">
        <f t="shared" si="14"/>
        <v>10098223.384917809</v>
      </c>
      <c r="S26" s="13"/>
      <c r="X26" s="39"/>
    </row>
    <row r="27" spans="2:24" ht="12.6" customHeight="1" x14ac:dyDescent="0.2">
      <c r="C27" s="150"/>
      <c r="D27" s="150"/>
      <c r="E27" s="150"/>
      <c r="F27" s="150"/>
      <c r="G27" s="150"/>
      <c r="H27" s="13"/>
      <c r="I27" s="30">
        <f t="shared" si="12"/>
        <v>42814</v>
      </c>
      <c r="J27" s="31">
        <f t="shared" si="12"/>
        <v>28</v>
      </c>
      <c r="K27" s="32">
        <f t="shared" si="9"/>
        <v>0.18978763333333343</v>
      </c>
      <c r="L27" s="33">
        <f t="shared" si="1"/>
        <v>0.26500000000000001</v>
      </c>
      <c r="M27" s="32">
        <f t="shared" si="10"/>
        <v>3.3145470833333336E-2</v>
      </c>
      <c r="N27" s="34">
        <f t="shared" si="11"/>
        <v>4.5319551586757998E-3</v>
      </c>
      <c r="O27" s="35">
        <f t="shared" si="13"/>
        <v>3.7677425992009135E-2</v>
      </c>
      <c r="P27" s="36">
        <f t="shared" si="3"/>
        <v>7954913.0000000009</v>
      </c>
      <c r="Q27" s="37">
        <f t="shared" si="4"/>
        <v>1087669.2380821919</v>
      </c>
      <c r="R27" s="38">
        <f t="shared" si="14"/>
        <v>9042582.2380821928</v>
      </c>
      <c r="S27" s="13"/>
      <c r="X27" s="39"/>
    </row>
    <row r="28" spans="2:24" ht="12.6" customHeight="1" x14ac:dyDescent="0.2">
      <c r="C28" s="150"/>
      <c r="D28" s="150"/>
      <c r="E28" s="150"/>
      <c r="F28" s="150"/>
      <c r="G28" s="150"/>
      <c r="H28" s="13"/>
      <c r="I28" s="30">
        <f t="shared" si="12"/>
        <v>42845</v>
      </c>
      <c r="J28" s="31">
        <f t="shared" si="12"/>
        <v>31</v>
      </c>
      <c r="K28" s="32">
        <f t="shared" si="9"/>
        <v>0.15580808333333343</v>
      </c>
      <c r="L28" s="33">
        <f t="shared" si="1"/>
        <v>0.26500000000000001</v>
      </c>
      <c r="M28" s="32">
        <f t="shared" si="10"/>
        <v>3.3979549999999997E-2</v>
      </c>
      <c r="N28" s="34">
        <f t="shared" si="11"/>
        <v>4.2715216652968041E-3</v>
      </c>
      <c r="O28" s="35">
        <f t="shared" si="13"/>
        <v>3.8251071665296801E-2</v>
      </c>
      <c r="P28" s="36">
        <f t="shared" si="3"/>
        <v>8155091.9999999991</v>
      </c>
      <c r="Q28" s="37">
        <f t="shared" si="4"/>
        <v>1025165.199671233</v>
      </c>
      <c r="R28" s="38">
        <f t="shared" si="14"/>
        <v>9180257.1996712312</v>
      </c>
      <c r="S28" s="13"/>
      <c r="X28" s="39"/>
    </row>
    <row r="29" spans="2:24" ht="12.6" customHeight="1" x14ac:dyDescent="0.2">
      <c r="C29" s="15" t="s">
        <v>35</v>
      </c>
      <c r="H29" s="13"/>
      <c r="I29" s="30">
        <f t="shared" si="12"/>
        <v>42877</v>
      </c>
      <c r="J29" s="31">
        <f t="shared" si="12"/>
        <v>32</v>
      </c>
      <c r="K29" s="32">
        <f t="shared" si="9"/>
        <v>0.12280352083333344</v>
      </c>
      <c r="L29" s="33">
        <f t="shared" si="1"/>
        <v>0.26500000000000001</v>
      </c>
      <c r="M29" s="32">
        <f t="shared" si="10"/>
        <v>3.3004562500000001E-2</v>
      </c>
      <c r="N29" s="34">
        <f t="shared" si="11"/>
        <v>3.6198699908675802E-3</v>
      </c>
      <c r="O29" s="35">
        <f t="shared" si="13"/>
        <v>3.6624432490867581E-2</v>
      </c>
      <c r="P29" s="36">
        <f t="shared" si="3"/>
        <v>7921095</v>
      </c>
      <c r="Q29" s="37">
        <f t="shared" si="4"/>
        <v>868768.79780821921</v>
      </c>
      <c r="R29" s="38">
        <f t="shared" si="14"/>
        <v>8789863.7978082187</v>
      </c>
      <c r="S29" s="13"/>
      <c r="X29" s="39"/>
    </row>
    <row r="30" spans="2:24" ht="12.6" customHeight="1" x14ac:dyDescent="0.2">
      <c r="C30" s="15" t="s">
        <v>62</v>
      </c>
      <c r="H30" s="13"/>
      <c r="I30" s="30">
        <f t="shared" si="12"/>
        <v>42906</v>
      </c>
      <c r="J30" s="31">
        <f t="shared" si="12"/>
        <v>29</v>
      </c>
      <c r="K30" s="32">
        <f t="shared" si="9"/>
        <v>9.1037441666666774E-2</v>
      </c>
      <c r="L30" s="33">
        <f t="shared" si="1"/>
        <v>0.26500000000000001</v>
      </c>
      <c r="M30" s="32">
        <f t="shared" si="10"/>
        <v>3.1766079166666669E-2</v>
      </c>
      <c r="N30" s="34">
        <f t="shared" si="11"/>
        <v>2.5856028975456626E-3</v>
      </c>
      <c r="O30" s="35">
        <f t="shared" si="13"/>
        <v>3.4351682064212331E-2</v>
      </c>
      <c r="P30" s="36">
        <f t="shared" si="3"/>
        <v>7623859.0000000009</v>
      </c>
      <c r="Q30" s="37">
        <f t="shared" si="4"/>
        <v>620544.69541095907</v>
      </c>
      <c r="R30" s="38">
        <f t="shared" si="14"/>
        <v>8244403.6954109604</v>
      </c>
      <c r="S30" s="13"/>
      <c r="X30" s="39"/>
    </row>
    <row r="31" spans="2:24" ht="12.6" customHeight="1" x14ac:dyDescent="0.2">
      <c r="C31" s="49" t="s">
        <v>37</v>
      </c>
      <c r="H31" s="13"/>
      <c r="I31" s="30">
        <f t="shared" si="12"/>
        <v>42936</v>
      </c>
      <c r="J31" s="31">
        <f t="shared" si="12"/>
        <v>30</v>
      </c>
      <c r="K31" s="32">
        <f t="shared" si="9"/>
        <v>6.304982083333345E-2</v>
      </c>
      <c r="L31" s="33">
        <f t="shared" si="1"/>
        <v>0.26500000000000001</v>
      </c>
      <c r="M31" s="32">
        <f t="shared" si="10"/>
        <v>2.7987620833333334E-2</v>
      </c>
      <c r="N31" s="34">
        <f t="shared" si="11"/>
        <v>1.9828703047945206E-3</v>
      </c>
      <c r="O31" s="35">
        <f t="shared" si="13"/>
        <v>2.9970491138127855E-2</v>
      </c>
      <c r="P31" s="36">
        <f t="shared" si="3"/>
        <v>6717029</v>
      </c>
      <c r="Q31" s="37">
        <f t="shared" si="4"/>
        <v>475888.87315068493</v>
      </c>
      <c r="R31" s="38">
        <f t="shared" si="14"/>
        <v>7192917.8731506849</v>
      </c>
      <c r="S31" s="13"/>
      <c r="X31" s="39"/>
    </row>
    <row r="32" spans="2:24" ht="12.6" customHeight="1" thickBot="1" x14ac:dyDescent="0.25">
      <c r="H32" s="13"/>
      <c r="I32" s="30">
        <f t="shared" si="12"/>
        <v>42968</v>
      </c>
      <c r="J32" s="31">
        <f t="shared" si="12"/>
        <v>32</v>
      </c>
      <c r="K32" s="32">
        <f t="shared" si="9"/>
        <v>3.6293241666666781E-2</v>
      </c>
      <c r="L32" s="33">
        <f t="shared" si="1"/>
        <v>0.26500000000000001</v>
      </c>
      <c r="M32" s="32">
        <f t="shared" si="10"/>
        <v>2.6756579166666669E-2</v>
      </c>
      <c r="N32" s="34">
        <f t="shared" si="11"/>
        <v>1.4648287141552513E-3</v>
      </c>
      <c r="O32" s="35">
        <f t="shared" si="13"/>
        <v>2.8221407880821919E-2</v>
      </c>
      <c r="P32" s="36">
        <f t="shared" si="3"/>
        <v>6421579.0000000009</v>
      </c>
      <c r="Q32" s="37">
        <f t="shared" si="4"/>
        <v>351558.8913972603</v>
      </c>
      <c r="R32" s="38">
        <f t="shared" si="14"/>
        <v>6773137.8913972611</v>
      </c>
      <c r="S32" s="13"/>
      <c r="X32" s="39"/>
    </row>
    <row r="33" spans="3:24" ht="12.6" customHeight="1" x14ac:dyDescent="0.2">
      <c r="C33" s="156" t="s">
        <v>40</v>
      </c>
      <c r="D33" s="157"/>
      <c r="E33" s="157"/>
      <c r="F33" s="157"/>
      <c r="G33" s="158"/>
      <c r="H33" s="13"/>
      <c r="I33" s="30">
        <f t="shared" si="12"/>
        <v>42998</v>
      </c>
      <c r="J33" s="31">
        <f t="shared" si="12"/>
        <v>30</v>
      </c>
      <c r="K33" s="32">
        <f t="shared" si="9"/>
        <v>1.1857550000000114E-2</v>
      </c>
      <c r="L33" s="33">
        <f t="shared" si="1"/>
        <v>0.26500000000000001</v>
      </c>
      <c r="M33" s="32">
        <f t="shared" si="10"/>
        <v>2.4435691666666662E-2</v>
      </c>
      <c r="N33" s="34">
        <f t="shared" si="11"/>
        <v>7.9049663356164381E-4</v>
      </c>
      <c r="O33" s="35">
        <f t="shared" si="13"/>
        <v>2.5226188300228304E-2</v>
      </c>
      <c r="P33" s="36">
        <f t="shared" si="3"/>
        <v>5864565.9999999991</v>
      </c>
      <c r="Q33" s="37">
        <f t="shared" si="4"/>
        <v>189719.19205479452</v>
      </c>
      <c r="R33" s="38">
        <f t="shared" si="14"/>
        <v>6054285.1920547932</v>
      </c>
      <c r="S33" s="13"/>
      <c r="X33" s="39"/>
    </row>
    <row r="34" spans="3:24" ht="12.6" customHeight="1" x14ac:dyDescent="0.2">
      <c r="C34" s="159"/>
      <c r="D34" s="160"/>
      <c r="E34" s="160"/>
      <c r="F34" s="160"/>
      <c r="G34" s="161"/>
      <c r="H34" s="13"/>
      <c r="I34" s="30">
        <f t="shared" si="12"/>
        <v>43028</v>
      </c>
      <c r="J34" s="31">
        <f t="shared" si="12"/>
        <v>30</v>
      </c>
      <c r="K34" s="32">
        <f t="shared" si="9"/>
        <v>1.1546319456101628E-16</v>
      </c>
      <c r="L34" s="33">
        <f t="shared" si="1"/>
        <v>0.26500000000000001</v>
      </c>
      <c r="M34" s="32">
        <f t="shared" si="10"/>
        <v>1.185755E-2</v>
      </c>
      <c r="N34" s="34">
        <f t="shared" si="11"/>
        <v>2.5826718493150686E-4</v>
      </c>
      <c r="O34" s="35">
        <f t="shared" si="13"/>
        <v>1.2115817184931507E-2</v>
      </c>
      <c r="P34" s="36">
        <f t="shared" si="3"/>
        <v>2845812</v>
      </c>
      <c r="Q34" s="37">
        <f t="shared" si="4"/>
        <v>61984.124383561648</v>
      </c>
      <c r="R34" s="38">
        <f t="shared" si="14"/>
        <v>2907796.1243835618</v>
      </c>
      <c r="S34" s="13"/>
      <c r="X34" s="39"/>
    </row>
    <row r="35" spans="3:24" ht="12.6" customHeight="1" thickBot="1" x14ac:dyDescent="0.25">
      <c r="C35" s="162"/>
      <c r="D35" s="163"/>
      <c r="E35" s="163"/>
      <c r="F35" s="163"/>
      <c r="G35" s="164"/>
      <c r="H35" s="13"/>
      <c r="I35" s="30"/>
      <c r="J35" s="31"/>
      <c r="K35" s="32"/>
      <c r="L35" s="33"/>
      <c r="M35" s="32"/>
      <c r="N35" s="34"/>
      <c r="O35" s="35"/>
      <c r="P35" s="36"/>
      <c r="Q35" s="37"/>
      <c r="R35" s="38"/>
      <c r="S35" s="13"/>
      <c r="X35" s="39"/>
    </row>
    <row r="36" spans="3:24" ht="12.6" hidden="1" customHeight="1" x14ac:dyDescent="0.2">
      <c r="C36" s="101"/>
      <c r="D36" s="101"/>
      <c r="E36" s="101"/>
      <c r="F36" s="101"/>
      <c r="G36" s="101"/>
      <c r="H36" s="13"/>
      <c r="I36" s="30"/>
      <c r="J36" s="31"/>
      <c r="K36" s="32"/>
      <c r="L36" s="33"/>
      <c r="M36" s="32"/>
      <c r="N36" s="34"/>
      <c r="O36" s="35"/>
      <c r="P36" s="36"/>
      <c r="Q36" s="37"/>
      <c r="R36" s="38"/>
      <c r="S36" s="13"/>
      <c r="X36" s="39"/>
    </row>
    <row r="37" spans="3:24" ht="12.6" hidden="1" customHeight="1" x14ac:dyDescent="0.2">
      <c r="C37" s="101"/>
      <c r="D37" s="101"/>
      <c r="E37" s="101"/>
      <c r="F37" s="101"/>
      <c r="G37" s="101"/>
      <c r="H37" s="13"/>
      <c r="I37" s="30"/>
      <c r="J37" s="31"/>
      <c r="K37" s="32"/>
      <c r="L37" s="33"/>
      <c r="M37" s="32"/>
      <c r="N37" s="34"/>
      <c r="O37" s="35"/>
      <c r="P37" s="36"/>
      <c r="Q37" s="37"/>
      <c r="R37" s="38"/>
      <c r="S37" s="13"/>
      <c r="X37" s="39"/>
    </row>
    <row r="38" spans="3:24" ht="12.6" hidden="1" customHeight="1" thickBot="1" x14ac:dyDescent="0.25">
      <c r="C38" s="101"/>
      <c r="D38" s="101"/>
      <c r="E38" s="101"/>
      <c r="F38" s="101"/>
      <c r="G38" s="101"/>
      <c r="H38" s="13"/>
      <c r="I38" s="30"/>
      <c r="J38" s="31"/>
      <c r="K38" s="32"/>
      <c r="L38" s="33"/>
      <c r="M38" s="32"/>
      <c r="N38" s="34"/>
      <c r="O38" s="35"/>
      <c r="P38" s="36"/>
      <c r="Q38" s="37"/>
      <c r="R38" s="38"/>
      <c r="S38" s="13"/>
      <c r="X38" s="39"/>
    </row>
    <row r="39" spans="3:24" ht="12.6" customHeight="1" thickBot="1" x14ac:dyDescent="0.25">
      <c r="H39" s="13"/>
      <c r="I39" s="20" t="s">
        <v>5</v>
      </c>
      <c r="J39" s="50"/>
      <c r="K39" s="51"/>
      <c r="L39" s="52"/>
      <c r="M39" s="53">
        <f>SUM(M8:M38)</f>
        <v>0.99999999999999967</v>
      </c>
      <c r="N39" s="54">
        <f>SUM(N8:N38)</f>
        <v>0.2562991775086757</v>
      </c>
      <c r="O39" s="52"/>
      <c r="P39" s="55">
        <f>SUM(P10:P38)</f>
        <v>240000000</v>
      </c>
      <c r="Q39" s="56">
        <f>SUM(Q10:Q38)</f>
        <v>61511802.6020822</v>
      </c>
      <c r="R39" s="57">
        <f>SUM(R10:R38)</f>
        <v>301511802.60208219</v>
      </c>
      <c r="S39" s="13"/>
    </row>
    <row r="40" spans="3:24" ht="12.6" customHeight="1" x14ac:dyDescent="0.2">
      <c r="H40" s="13"/>
      <c r="I40" s="13"/>
      <c r="J40" s="13"/>
      <c r="K40" s="58"/>
      <c r="L40" s="58"/>
      <c r="M40" s="58"/>
      <c r="N40" s="13"/>
      <c r="O40" s="13"/>
      <c r="P40" s="13"/>
      <c r="Q40" s="13"/>
      <c r="R40" s="13"/>
      <c r="S40" s="13"/>
    </row>
    <row r="41" spans="3:24" ht="12.6" customHeight="1" thickBot="1" x14ac:dyDescent="0.25">
      <c r="I41" s="59"/>
      <c r="J41" s="59"/>
      <c r="K41" s="59"/>
      <c r="L41" s="59"/>
      <c r="Q41" s="60"/>
      <c r="S41" s="10"/>
    </row>
    <row r="42" spans="3:24" ht="90" customHeight="1" thickTop="1" thickBot="1" x14ac:dyDescent="0.25">
      <c r="C42" s="143" t="s">
        <v>21</v>
      </c>
      <c r="D42" s="144"/>
      <c r="E42" s="144"/>
      <c r="F42" s="144"/>
      <c r="G42" s="144"/>
      <c r="H42" s="144"/>
      <c r="I42" s="144"/>
      <c r="J42" s="144"/>
      <c r="K42" s="144"/>
      <c r="L42" s="144"/>
      <c r="M42" s="144"/>
      <c r="N42" s="144"/>
      <c r="O42" s="144"/>
      <c r="P42" s="144"/>
      <c r="Q42" s="144"/>
      <c r="R42" s="144"/>
      <c r="S42" s="145"/>
    </row>
    <row r="43" spans="3:24" ht="12" thickTop="1" x14ac:dyDescent="0.2">
      <c r="I43" s="61"/>
      <c r="J43" s="61"/>
      <c r="K43" s="61"/>
      <c r="L43" s="61"/>
      <c r="S43" s="62"/>
      <c r="T43" s="10"/>
    </row>
    <row r="44" spans="3:24" ht="12" hidden="1" thickBot="1" x14ac:dyDescent="0.25">
      <c r="I44" s="63" t="s">
        <v>2</v>
      </c>
      <c r="J44" s="64" t="s">
        <v>23</v>
      </c>
      <c r="K44" s="64" t="s">
        <v>26</v>
      </c>
      <c r="L44" s="64" t="s">
        <v>4</v>
      </c>
      <c r="M44" s="64" t="s">
        <v>3</v>
      </c>
      <c r="N44" s="64" t="s">
        <v>27</v>
      </c>
      <c r="O44" s="65" t="s">
        <v>24</v>
      </c>
      <c r="P44" s="66" t="s">
        <v>28</v>
      </c>
      <c r="Q44" s="67"/>
      <c r="S44" s="62"/>
      <c r="T44" s="10"/>
    </row>
    <row r="45" spans="3:24" hidden="1" x14ac:dyDescent="0.2">
      <c r="I45" s="68">
        <f>+D15</f>
        <v>42263</v>
      </c>
      <c r="J45" s="69"/>
      <c r="K45" s="70">
        <f>+D8</f>
        <v>240000000</v>
      </c>
      <c r="L45" s="71"/>
      <c r="M45" s="72"/>
      <c r="N45" s="69"/>
      <c r="O45" s="73">
        <v>100</v>
      </c>
      <c r="P45" s="74"/>
      <c r="Q45" s="75"/>
      <c r="S45" s="62"/>
      <c r="T45" s="10"/>
    </row>
    <row r="46" spans="3:24" hidden="1" x14ac:dyDescent="0.2">
      <c r="I46" s="92">
        <v>42297</v>
      </c>
      <c r="J46" s="76">
        <f>+I46-I45</f>
        <v>34</v>
      </c>
      <c r="K46" s="77">
        <f>K45-L46</f>
        <v>230298405</v>
      </c>
      <c r="L46" s="94">
        <v>9701595</v>
      </c>
      <c r="M46" s="78">
        <f t="shared" ref="M46:M70" si="15">+L10/365*J46*K45</f>
        <v>5924383.5616438361</v>
      </c>
      <c r="N46" s="79">
        <f>+L46/$K$45*100</f>
        <v>4.0423312500000002</v>
      </c>
      <c r="O46" s="80">
        <f>O45-N46</f>
        <v>95.957668749999996</v>
      </c>
      <c r="P46" s="81">
        <f>+M46/$K$45*100</f>
        <v>2.4684931506849317</v>
      </c>
      <c r="Q46" s="96">
        <v>5924384</v>
      </c>
      <c r="R46" s="82">
        <f>+Q46-M46</f>
        <v>0.43835616391152143</v>
      </c>
      <c r="S46" s="62"/>
      <c r="T46" s="10"/>
    </row>
    <row r="47" spans="3:24" hidden="1" x14ac:dyDescent="0.2">
      <c r="I47" s="92">
        <v>42328</v>
      </c>
      <c r="J47" s="76">
        <f>+I47-I46</f>
        <v>31</v>
      </c>
      <c r="K47" s="77">
        <f>K46-L47</f>
        <v>220332074</v>
      </c>
      <c r="L47" s="94">
        <v>9966331</v>
      </c>
      <c r="M47" s="78">
        <f t="shared" si="15"/>
        <v>5183291.4988356167</v>
      </c>
      <c r="N47" s="79">
        <f>+L47/$K$45*100</f>
        <v>4.1526379166666665</v>
      </c>
      <c r="O47" s="80">
        <f>O46-N47</f>
        <v>91.805030833333333</v>
      </c>
      <c r="P47" s="81">
        <f>+M47/$K$45*100</f>
        <v>2.159704791181507</v>
      </c>
      <c r="Q47" s="96">
        <v>5183292</v>
      </c>
      <c r="R47" s="82">
        <f t="shared" ref="R47:R70" si="16">+Q47-M47</f>
        <v>0.50116438325494528</v>
      </c>
      <c r="S47" s="62"/>
      <c r="T47" s="10"/>
    </row>
    <row r="48" spans="3:24" hidden="1" x14ac:dyDescent="0.2">
      <c r="C48" s="99" t="s">
        <v>36</v>
      </c>
      <c r="D48" s="100">
        <v>550</v>
      </c>
      <c r="I48" s="92">
        <v>42359</v>
      </c>
      <c r="J48" s="76">
        <f>+I48-I47</f>
        <v>31</v>
      </c>
      <c r="K48" s="77">
        <f>K47-L48</f>
        <v>207237004</v>
      </c>
      <c r="L48" s="94">
        <v>13095070</v>
      </c>
      <c r="M48" s="78">
        <f t="shared" si="15"/>
        <v>4958980.7887945212</v>
      </c>
      <c r="N48" s="79">
        <f>+L48/$K$45*100</f>
        <v>5.4562791666666666</v>
      </c>
      <c r="O48" s="80">
        <f>O47-N48</f>
        <v>86.348751666666672</v>
      </c>
      <c r="P48" s="81">
        <f>+M48/$K$45*100</f>
        <v>2.0662419953310507</v>
      </c>
      <c r="Q48" s="96">
        <v>4958981</v>
      </c>
      <c r="R48" s="82">
        <f t="shared" si="16"/>
        <v>0.21120547875761986</v>
      </c>
      <c r="S48" s="62"/>
      <c r="T48" s="10"/>
    </row>
    <row r="49" spans="9:20" hidden="1" x14ac:dyDescent="0.2">
      <c r="I49" s="92">
        <v>42389</v>
      </c>
      <c r="J49" s="76">
        <f t="shared" ref="J49:J70" si="17">+I49-I48</f>
        <v>30</v>
      </c>
      <c r="K49" s="77">
        <f t="shared" ref="K49:K70" si="18">K48-L49</f>
        <v>193851456</v>
      </c>
      <c r="L49" s="94">
        <v>13385548</v>
      </c>
      <c r="M49" s="78">
        <f t="shared" si="15"/>
        <v>4513792.2789041102</v>
      </c>
      <c r="N49" s="79">
        <f t="shared" ref="N49:N70" si="19">+L49/$K$45*100</f>
        <v>5.5773116666666667</v>
      </c>
      <c r="O49" s="80">
        <f t="shared" ref="O49:O70" si="20">O48-N49</f>
        <v>80.771440000000013</v>
      </c>
      <c r="P49" s="81">
        <f t="shared" ref="P49:P70" si="21">+M49/$K$45*100</f>
        <v>1.8807467828767126</v>
      </c>
      <c r="Q49" s="96">
        <v>4513792</v>
      </c>
      <c r="R49" s="82">
        <f t="shared" si="16"/>
        <v>-0.27890411019325256</v>
      </c>
      <c r="S49" s="62"/>
      <c r="T49" s="10"/>
    </row>
    <row r="50" spans="9:20" hidden="1" x14ac:dyDescent="0.2">
      <c r="I50" s="92">
        <v>42422</v>
      </c>
      <c r="J50" s="76">
        <f t="shared" si="17"/>
        <v>33</v>
      </c>
      <c r="K50" s="77">
        <f t="shared" si="18"/>
        <v>182726018</v>
      </c>
      <c r="L50" s="94">
        <v>11125438</v>
      </c>
      <c r="M50" s="78">
        <f t="shared" si="15"/>
        <v>4644468.4458082197</v>
      </c>
      <c r="N50" s="79">
        <f t="shared" si="19"/>
        <v>4.6355991666666663</v>
      </c>
      <c r="O50" s="80">
        <f t="shared" si="20"/>
        <v>76.135840833333347</v>
      </c>
      <c r="P50" s="81">
        <f t="shared" si="21"/>
        <v>1.9351951857534249</v>
      </c>
      <c r="Q50" s="96">
        <v>4644468</v>
      </c>
      <c r="R50" s="82">
        <f t="shared" si="16"/>
        <v>-0.44580821972340345</v>
      </c>
      <c r="S50" s="62"/>
      <c r="T50" s="10"/>
    </row>
    <row r="51" spans="9:20" hidden="1" x14ac:dyDescent="0.2">
      <c r="I51" s="92">
        <v>42450</v>
      </c>
      <c r="J51" s="76">
        <f t="shared" si="17"/>
        <v>28</v>
      </c>
      <c r="K51" s="77">
        <f t="shared" si="18"/>
        <v>170679389</v>
      </c>
      <c r="L51" s="94">
        <v>12046629</v>
      </c>
      <c r="M51" s="78">
        <f t="shared" si="15"/>
        <v>3714594.6672876715</v>
      </c>
      <c r="N51" s="79">
        <f t="shared" si="19"/>
        <v>5.0194287499999994</v>
      </c>
      <c r="O51" s="80">
        <f t="shared" si="20"/>
        <v>71.116412083333344</v>
      </c>
      <c r="P51" s="81">
        <f t="shared" si="21"/>
        <v>1.5477477780365299</v>
      </c>
      <c r="Q51" s="96">
        <v>3714595</v>
      </c>
      <c r="R51" s="82">
        <f t="shared" si="16"/>
        <v>0.33271232852712274</v>
      </c>
      <c r="S51" s="62"/>
      <c r="T51" s="10"/>
    </row>
    <row r="52" spans="9:20" hidden="1" x14ac:dyDescent="0.2">
      <c r="I52" s="92">
        <v>42480</v>
      </c>
      <c r="J52" s="76">
        <f t="shared" si="17"/>
        <v>30</v>
      </c>
      <c r="K52" s="77">
        <f t="shared" si="18"/>
        <v>159806082</v>
      </c>
      <c r="L52" s="94">
        <v>10873307</v>
      </c>
      <c r="M52" s="78">
        <f t="shared" si="15"/>
        <v>3717537.3768493151</v>
      </c>
      <c r="N52" s="79">
        <f t="shared" si="19"/>
        <v>4.5305445833333335</v>
      </c>
      <c r="O52" s="80">
        <f t="shared" si="20"/>
        <v>66.585867500000006</v>
      </c>
      <c r="P52" s="81">
        <f t="shared" si="21"/>
        <v>1.5489739070205479</v>
      </c>
      <c r="Q52" s="96">
        <v>3717537</v>
      </c>
      <c r="R52" s="82">
        <f t="shared" si="16"/>
        <v>-0.37684931512922049</v>
      </c>
      <c r="S52" s="62"/>
      <c r="T52" s="10"/>
    </row>
    <row r="53" spans="9:20" hidden="1" x14ac:dyDescent="0.2">
      <c r="I53" s="92">
        <v>42510</v>
      </c>
      <c r="J53" s="76">
        <f t="shared" si="17"/>
        <v>30</v>
      </c>
      <c r="K53" s="77">
        <f t="shared" si="18"/>
        <v>149199079</v>
      </c>
      <c r="L53" s="94">
        <v>10607003</v>
      </c>
      <c r="M53" s="78">
        <f t="shared" si="15"/>
        <v>3480707.8134246576</v>
      </c>
      <c r="N53" s="79">
        <f t="shared" si="19"/>
        <v>4.4195845833333331</v>
      </c>
      <c r="O53" s="80">
        <f t="shared" si="20"/>
        <v>62.166282916666674</v>
      </c>
      <c r="P53" s="81">
        <f t="shared" si="21"/>
        <v>1.4502949222602739</v>
      </c>
      <c r="Q53" s="96">
        <v>3480708</v>
      </c>
      <c r="R53" s="82">
        <f t="shared" si="16"/>
        <v>0.18657534243538976</v>
      </c>
      <c r="S53" s="62"/>
      <c r="T53" s="10"/>
    </row>
    <row r="54" spans="9:20" hidden="1" x14ac:dyDescent="0.2">
      <c r="I54" s="92">
        <v>42541</v>
      </c>
      <c r="J54" s="76">
        <f t="shared" si="17"/>
        <v>31</v>
      </c>
      <c r="K54" s="77">
        <f t="shared" si="18"/>
        <v>136000753</v>
      </c>
      <c r="L54" s="94">
        <v>13198326</v>
      </c>
      <c r="M54" s="78">
        <f t="shared" si="15"/>
        <v>3358001.1890000002</v>
      </c>
      <c r="N54" s="79">
        <f t="shared" si="19"/>
        <v>5.4993024999999998</v>
      </c>
      <c r="O54" s="80">
        <f t="shared" si="20"/>
        <v>56.666980416666675</v>
      </c>
      <c r="P54" s="81">
        <f t="shared" si="21"/>
        <v>1.3991671620833335</v>
      </c>
      <c r="Q54" s="96">
        <v>3358001</v>
      </c>
      <c r="R54" s="82">
        <f t="shared" si="16"/>
        <v>-0.18900000024586916</v>
      </c>
      <c r="S54" s="62"/>
      <c r="T54" s="10"/>
    </row>
    <row r="55" spans="9:20" hidden="1" x14ac:dyDescent="0.2">
      <c r="I55" s="92">
        <v>42571</v>
      </c>
      <c r="J55" s="76">
        <f t="shared" si="17"/>
        <v>30</v>
      </c>
      <c r="K55" s="77">
        <f t="shared" si="18"/>
        <v>124147991</v>
      </c>
      <c r="L55" s="94">
        <v>11852762</v>
      </c>
      <c r="M55" s="78">
        <f t="shared" si="15"/>
        <v>2962208.1817808221</v>
      </c>
      <c r="N55" s="79">
        <f t="shared" si="19"/>
        <v>4.9386508333333339</v>
      </c>
      <c r="O55" s="80">
        <f t="shared" si="20"/>
        <v>51.728329583333341</v>
      </c>
      <c r="P55" s="81">
        <f t="shared" si="21"/>
        <v>1.2342534090753425</v>
      </c>
      <c r="Q55" s="96">
        <v>2962208</v>
      </c>
      <c r="R55" s="82">
        <f t="shared" si="16"/>
        <v>-0.18178082210943103</v>
      </c>
      <c r="S55" s="62"/>
      <c r="T55" s="10"/>
    </row>
    <row r="56" spans="9:20" hidden="1" x14ac:dyDescent="0.2">
      <c r="I56" s="92">
        <v>42604</v>
      </c>
      <c r="J56" s="76">
        <f t="shared" si="17"/>
        <v>33</v>
      </c>
      <c r="K56" s="77">
        <f t="shared" si="18"/>
        <v>112788747</v>
      </c>
      <c r="L56" s="94">
        <v>11359244</v>
      </c>
      <c r="M56" s="78">
        <f t="shared" si="15"/>
        <v>2974449.8117671236</v>
      </c>
      <c r="N56" s="79">
        <f t="shared" si="19"/>
        <v>4.7330183333333329</v>
      </c>
      <c r="O56" s="80">
        <f t="shared" si="20"/>
        <v>46.995311250000007</v>
      </c>
      <c r="P56" s="81">
        <f t="shared" si="21"/>
        <v>1.2393540882363017</v>
      </c>
      <c r="Q56" s="96">
        <v>2974450</v>
      </c>
      <c r="R56" s="82">
        <f t="shared" si="16"/>
        <v>0.18823287636041641</v>
      </c>
      <c r="S56" s="62"/>
      <c r="T56" s="10"/>
    </row>
    <row r="57" spans="9:20" hidden="1" x14ac:dyDescent="0.2">
      <c r="I57" s="92">
        <v>42633</v>
      </c>
      <c r="J57" s="76">
        <f t="shared" si="17"/>
        <v>29</v>
      </c>
      <c r="K57" s="77">
        <f t="shared" si="18"/>
        <v>101256992</v>
      </c>
      <c r="L57" s="94">
        <v>11531755</v>
      </c>
      <c r="M57" s="78">
        <f t="shared" si="15"/>
        <v>2374743.8923150687</v>
      </c>
      <c r="N57" s="79">
        <f t="shared" si="19"/>
        <v>4.8048979166666665</v>
      </c>
      <c r="O57" s="80">
        <f t="shared" si="20"/>
        <v>42.190413333333339</v>
      </c>
      <c r="P57" s="81">
        <f t="shared" si="21"/>
        <v>0.98947662179794538</v>
      </c>
      <c r="Q57" s="96">
        <v>2374744</v>
      </c>
      <c r="R57" s="82">
        <f t="shared" si="16"/>
        <v>0.10768493125215173</v>
      </c>
      <c r="S57" s="62"/>
      <c r="T57" s="10"/>
    </row>
    <row r="58" spans="9:20" hidden="1" x14ac:dyDescent="0.2">
      <c r="I58" s="92">
        <v>42663</v>
      </c>
      <c r="J58" s="76">
        <f t="shared" si="17"/>
        <v>30</v>
      </c>
      <c r="K58" s="77">
        <f t="shared" si="18"/>
        <v>90809033</v>
      </c>
      <c r="L58" s="94">
        <v>10447959</v>
      </c>
      <c r="M58" s="78">
        <f t="shared" si="15"/>
        <v>2205460.5106849317</v>
      </c>
      <c r="N58" s="79">
        <f t="shared" si="19"/>
        <v>4.3533162499999998</v>
      </c>
      <c r="O58" s="80">
        <f t="shared" si="20"/>
        <v>37.83709708333334</v>
      </c>
      <c r="P58" s="81">
        <f t="shared" si="21"/>
        <v>0.91894187945205474</v>
      </c>
      <c r="Q58" s="96">
        <v>2205460</v>
      </c>
      <c r="R58" s="82">
        <f t="shared" si="16"/>
        <v>-0.51068493165075779</v>
      </c>
      <c r="S58" s="62"/>
      <c r="T58" s="10"/>
    </row>
    <row r="59" spans="9:20" hidden="1" x14ac:dyDescent="0.2">
      <c r="I59" s="92">
        <v>42695</v>
      </c>
      <c r="J59" s="76">
        <f t="shared" si="17"/>
        <v>32</v>
      </c>
      <c r="K59" s="77">
        <f t="shared" si="18"/>
        <v>80929786</v>
      </c>
      <c r="L59" s="94">
        <v>9879247</v>
      </c>
      <c r="M59" s="78">
        <f t="shared" si="15"/>
        <v>2109755.0680547948</v>
      </c>
      <c r="N59" s="79">
        <f t="shared" si="19"/>
        <v>4.1163529166666661</v>
      </c>
      <c r="O59" s="80">
        <f t="shared" si="20"/>
        <v>33.720744166666677</v>
      </c>
      <c r="P59" s="81">
        <f t="shared" si="21"/>
        <v>0.8790646116894979</v>
      </c>
      <c r="Q59" s="96">
        <v>2109755</v>
      </c>
      <c r="R59" s="82">
        <f t="shared" si="16"/>
        <v>-6.8054794799536467E-2</v>
      </c>
      <c r="S59" s="62"/>
      <c r="T59" s="10"/>
    </row>
    <row r="60" spans="9:20" hidden="1" x14ac:dyDescent="0.2">
      <c r="I60" s="92">
        <v>42724</v>
      </c>
      <c r="J60" s="76">
        <f t="shared" si="17"/>
        <v>29</v>
      </c>
      <c r="K60" s="77">
        <f t="shared" si="18"/>
        <v>71275774</v>
      </c>
      <c r="L60" s="94">
        <v>9654012</v>
      </c>
      <c r="M60" s="78">
        <f t="shared" si="15"/>
        <v>1703960.014821918</v>
      </c>
      <c r="N60" s="79">
        <f t="shared" si="19"/>
        <v>4.0225049999999998</v>
      </c>
      <c r="O60" s="80">
        <f t="shared" si="20"/>
        <v>29.698239166666678</v>
      </c>
      <c r="P60" s="81">
        <f t="shared" si="21"/>
        <v>0.70998333950913251</v>
      </c>
      <c r="Q60" s="96">
        <v>1703960</v>
      </c>
      <c r="R60" s="82">
        <f t="shared" si="16"/>
        <v>-1.4821917982771993E-2</v>
      </c>
      <c r="S60" s="62"/>
      <c r="T60" s="10"/>
    </row>
    <row r="61" spans="9:20" hidden="1" x14ac:dyDescent="0.2">
      <c r="I61" s="92">
        <v>42755</v>
      </c>
      <c r="J61" s="76">
        <f t="shared" si="17"/>
        <v>31</v>
      </c>
      <c r="K61" s="77">
        <f t="shared" si="18"/>
        <v>62202193</v>
      </c>
      <c r="L61" s="94">
        <v>9073581</v>
      </c>
      <c r="M61" s="78">
        <f t="shared" si="15"/>
        <v>1604193.1052328767</v>
      </c>
      <c r="N61" s="79">
        <f t="shared" si="19"/>
        <v>3.7806587500000002</v>
      </c>
      <c r="O61" s="80">
        <f t="shared" si="20"/>
        <v>25.917580416666677</v>
      </c>
      <c r="P61" s="81">
        <f t="shared" si="21"/>
        <v>0.66841379384703192</v>
      </c>
      <c r="Q61" s="96">
        <v>1604193</v>
      </c>
      <c r="R61" s="82">
        <f t="shared" si="16"/>
        <v>-0.10523287672549486</v>
      </c>
      <c r="S61" s="62"/>
      <c r="T61" s="10"/>
    </row>
    <row r="62" spans="9:20" hidden="1" x14ac:dyDescent="0.2">
      <c r="I62" s="92">
        <v>42786</v>
      </c>
      <c r="J62" s="76">
        <f t="shared" si="17"/>
        <v>31</v>
      </c>
      <c r="K62" s="77">
        <f t="shared" si="18"/>
        <v>53503945</v>
      </c>
      <c r="L62" s="94">
        <v>8698248</v>
      </c>
      <c r="M62" s="78">
        <f t="shared" si="15"/>
        <v>1399975.3849178082</v>
      </c>
      <c r="N62" s="79">
        <f t="shared" si="19"/>
        <v>3.6242700000000001</v>
      </c>
      <c r="O62" s="80">
        <f t="shared" si="20"/>
        <v>22.293310416666678</v>
      </c>
      <c r="P62" s="81">
        <f t="shared" si="21"/>
        <v>0.5833230770490867</v>
      </c>
      <c r="Q62" s="96">
        <v>1399975</v>
      </c>
      <c r="R62" s="82">
        <f t="shared" si="16"/>
        <v>-0.38491780823096633</v>
      </c>
      <c r="S62" s="62"/>
      <c r="T62" s="10"/>
    </row>
    <row r="63" spans="9:20" hidden="1" x14ac:dyDescent="0.2">
      <c r="I63" s="92">
        <v>42814</v>
      </c>
      <c r="J63" s="76">
        <f t="shared" si="17"/>
        <v>28</v>
      </c>
      <c r="K63" s="77">
        <f t="shared" si="18"/>
        <v>45549032</v>
      </c>
      <c r="L63" s="94">
        <v>7954913</v>
      </c>
      <c r="M63" s="78">
        <f t="shared" si="15"/>
        <v>1087669.2380821919</v>
      </c>
      <c r="N63" s="79">
        <f t="shared" si="19"/>
        <v>3.3145470833333337</v>
      </c>
      <c r="O63" s="80">
        <f t="shared" si="20"/>
        <v>18.978763333333344</v>
      </c>
      <c r="P63" s="81">
        <f t="shared" si="21"/>
        <v>0.45319551586758</v>
      </c>
      <c r="Q63" s="96">
        <v>1087669</v>
      </c>
      <c r="R63" s="82">
        <f t="shared" si="16"/>
        <v>-0.23808219190686941</v>
      </c>
      <c r="S63" s="62"/>
      <c r="T63" s="10"/>
    </row>
    <row r="64" spans="9:20" hidden="1" x14ac:dyDescent="0.2">
      <c r="I64" s="92">
        <v>42845</v>
      </c>
      <c r="J64" s="76">
        <f t="shared" si="17"/>
        <v>31</v>
      </c>
      <c r="K64" s="77">
        <f t="shared" si="18"/>
        <v>37393940</v>
      </c>
      <c r="L64" s="94">
        <v>8155092</v>
      </c>
      <c r="M64" s="78">
        <f t="shared" si="15"/>
        <v>1025165.199671233</v>
      </c>
      <c r="N64" s="79">
        <f t="shared" si="19"/>
        <v>3.3979549999999996</v>
      </c>
      <c r="O64" s="80">
        <f t="shared" si="20"/>
        <v>15.580808333333344</v>
      </c>
      <c r="P64" s="81">
        <f t="shared" si="21"/>
        <v>0.42715216652968041</v>
      </c>
      <c r="Q64" s="96">
        <v>1025165</v>
      </c>
      <c r="R64" s="82">
        <f t="shared" si="16"/>
        <v>-0.19967123295646161</v>
      </c>
      <c r="S64" s="62"/>
      <c r="T64" s="10"/>
    </row>
    <row r="65" spans="9:20" hidden="1" x14ac:dyDescent="0.2">
      <c r="I65" s="92">
        <v>42877</v>
      </c>
      <c r="J65" s="76">
        <f t="shared" si="17"/>
        <v>32</v>
      </c>
      <c r="K65" s="77">
        <f t="shared" si="18"/>
        <v>29472845</v>
      </c>
      <c r="L65" s="94">
        <v>7921095</v>
      </c>
      <c r="M65" s="78">
        <f t="shared" si="15"/>
        <v>868768.79780821921</v>
      </c>
      <c r="N65" s="79">
        <f t="shared" si="19"/>
        <v>3.3004562499999999</v>
      </c>
      <c r="O65" s="80">
        <f t="shared" si="20"/>
        <v>12.280352083333344</v>
      </c>
      <c r="P65" s="81">
        <f t="shared" si="21"/>
        <v>0.36198699908675802</v>
      </c>
      <c r="Q65" s="96">
        <v>868769</v>
      </c>
      <c r="R65" s="82">
        <f t="shared" si="16"/>
        <v>0.20219178078696132</v>
      </c>
      <c r="T65" s="10"/>
    </row>
    <row r="66" spans="9:20" hidden="1" x14ac:dyDescent="0.2">
      <c r="I66" s="92">
        <v>42906</v>
      </c>
      <c r="J66" s="76">
        <f t="shared" si="17"/>
        <v>29</v>
      </c>
      <c r="K66" s="77">
        <f t="shared" si="18"/>
        <v>21848986</v>
      </c>
      <c r="L66" s="94">
        <v>7623859</v>
      </c>
      <c r="M66" s="78">
        <f t="shared" si="15"/>
        <v>620544.69541095896</v>
      </c>
      <c r="N66" s="79">
        <f t="shared" si="19"/>
        <v>3.1766079166666668</v>
      </c>
      <c r="O66" s="80">
        <f t="shared" si="20"/>
        <v>9.1037441666666776</v>
      </c>
      <c r="P66" s="81">
        <f t="shared" si="21"/>
        <v>0.25856028975456624</v>
      </c>
      <c r="Q66" s="96">
        <v>620545</v>
      </c>
      <c r="R66" s="82">
        <f t="shared" si="16"/>
        <v>0.30458904104307294</v>
      </c>
      <c r="T66" s="10"/>
    </row>
    <row r="67" spans="9:20" hidden="1" x14ac:dyDescent="0.2">
      <c r="I67" s="92">
        <v>42936</v>
      </c>
      <c r="J67" s="76">
        <f t="shared" si="17"/>
        <v>30</v>
      </c>
      <c r="K67" s="77">
        <f t="shared" si="18"/>
        <v>15131957</v>
      </c>
      <c r="L67" s="94">
        <v>6717029</v>
      </c>
      <c r="M67" s="78">
        <f t="shared" si="15"/>
        <v>475888.87315068499</v>
      </c>
      <c r="N67" s="79">
        <f t="shared" si="19"/>
        <v>2.7987620833333335</v>
      </c>
      <c r="O67" s="80">
        <f t="shared" si="20"/>
        <v>6.3049820833333445</v>
      </c>
      <c r="P67" s="81">
        <f t="shared" si="21"/>
        <v>0.19828703047945206</v>
      </c>
      <c r="Q67" s="96">
        <v>475889</v>
      </c>
      <c r="R67" s="82">
        <f t="shared" si="16"/>
        <v>0.12684931501280516</v>
      </c>
      <c r="T67" s="10"/>
    </row>
    <row r="68" spans="9:20" hidden="1" x14ac:dyDescent="0.2">
      <c r="I68" s="92">
        <v>42968</v>
      </c>
      <c r="J68" s="76">
        <f t="shared" si="17"/>
        <v>32</v>
      </c>
      <c r="K68" s="77">
        <f t="shared" si="18"/>
        <v>8710378</v>
      </c>
      <c r="L68" s="94">
        <v>6421579</v>
      </c>
      <c r="M68" s="78">
        <f t="shared" si="15"/>
        <v>351558.8913972603</v>
      </c>
      <c r="N68" s="79">
        <f t="shared" si="19"/>
        <v>2.6756579166666667</v>
      </c>
      <c r="O68" s="80">
        <f t="shared" si="20"/>
        <v>3.6293241666666778</v>
      </c>
      <c r="P68" s="81">
        <f t="shared" si="21"/>
        <v>0.14648287141552513</v>
      </c>
      <c r="Q68" s="96">
        <v>351559</v>
      </c>
      <c r="R68" s="82">
        <f t="shared" si="16"/>
        <v>0.10860273969592527</v>
      </c>
      <c r="T68" s="10"/>
    </row>
    <row r="69" spans="9:20" hidden="1" x14ac:dyDescent="0.2">
      <c r="I69" s="92">
        <v>42998</v>
      </c>
      <c r="J69" s="76">
        <f t="shared" si="17"/>
        <v>30</v>
      </c>
      <c r="K69" s="77">
        <f t="shared" si="18"/>
        <v>2845812</v>
      </c>
      <c r="L69" s="94">
        <v>5864566</v>
      </c>
      <c r="M69" s="78">
        <f t="shared" si="15"/>
        <v>189719.19205479452</v>
      </c>
      <c r="N69" s="79">
        <f t="shared" si="19"/>
        <v>2.4435691666666663</v>
      </c>
      <c r="O69" s="80">
        <f t="shared" si="20"/>
        <v>1.1857550000000114</v>
      </c>
      <c r="P69" s="81">
        <f t="shared" si="21"/>
        <v>7.9049663356164382E-2</v>
      </c>
      <c r="Q69" s="96">
        <v>189719</v>
      </c>
      <c r="R69" s="82">
        <f t="shared" si="16"/>
        <v>-0.19205479451920837</v>
      </c>
      <c r="T69" s="10"/>
    </row>
    <row r="70" spans="9:20" hidden="1" x14ac:dyDescent="0.2">
      <c r="I70" s="92">
        <v>43028</v>
      </c>
      <c r="J70" s="76">
        <f t="shared" si="17"/>
        <v>30</v>
      </c>
      <c r="K70" s="77">
        <f t="shared" si="18"/>
        <v>0</v>
      </c>
      <c r="L70" s="94">
        <v>2845812</v>
      </c>
      <c r="M70" s="78">
        <f t="shared" si="15"/>
        <v>61984.124383561648</v>
      </c>
      <c r="N70" s="79">
        <f t="shared" si="19"/>
        <v>1.1857549999999999</v>
      </c>
      <c r="O70" s="80">
        <f t="shared" si="20"/>
        <v>1.1546319456101628E-14</v>
      </c>
      <c r="P70" s="81">
        <f t="shared" si="21"/>
        <v>2.5826718493150685E-2</v>
      </c>
      <c r="Q70" s="96">
        <v>61984</v>
      </c>
      <c r="R70" s="82">
        <f t="shared" si="16"/>
        <v>-0.12438356164784636</v>
      </c>
      <c r="T70" s="10"/>
    </row>
    <row r="71" spans="9:20" hidden="1" x14ac:dyDescent="0.2">
      <c r="I71" s="92"/>
      <c r="J71" s="76"/>
      <c r="K71" s="77"/>
      <c r="L71" s="94"/>
      <c r="M71" s="78"/>
      <c r="N71" s="79"/>
      <c r="O71" s="80"/>
      <c r="P71" s="81"/>
      <c r="Q71" s="96"/>
      <c r="R71" s="82"/>
    </row>
    <row r="72" spans="9:20" hidden="1" x14ac:dyDescent="0.2">
      <c r="I72" s="92"/>
      <c r="J72" s="76"/>
      <c r="K72" s="77"/>
      <c r="L72" s="94"/>
      <c r="M72" s="78"/>
      <c r="N72" s="79"/>
      <c r="O72" s="80"/>
      <c r="P72" s="81"/>
      <c r="Q72" s="96"/>
      <c r="R72" s="82"/>
    </row>
    <row r="73" spans="9:20" hidden="1" x14ac:dyDescent="0.2">
      <c r="I73" s="93"/>
      <c r="J73" s="76"/>
      <c r="K73" s="77"/>
      <c r="L73" s="95"/>
      <c r="M73" s="78"/>
      <c r="N73" s="79"/>
      <c r="O73" s="80"/>
      <c r="P73" s="81"/>
      <c r="Q73" s="97"/>
      <c r="R73" s="82"/>
    </row>
    <row r="74" spans="9:20" hidden="1" x14ac:dyDescent="0.2">
      <c r="I74" s="93"/>
      <c r="J74" s="76"/>
      <c r="K74" s="77"/>
      <c r="L74" s="95"/>
      <c r="M74" s="78"/>
      <c r="N74" s="79"/>
      <c r="O74" s="80"/>
      <c r="P74" s="81"/>
      <c r="Q74" s="97"/>
      <c r="R74" s="82"/>
    </row>
    <row r="75" spans="9:20" hidden="1" x14ac:dyDescent="0.2">
      <c r="I75" s="93"/>
      <c r="J75" s="76"/>
      <c r="K75" s="77"/>
      <c r="L75" s="95"/>
      <c r="M75" s="78"/>
      <c r="N75" s="79"/>
      <c r="O75" s="80"/>
      <c r="P75" s="81"/>
      <c r="Q75" s="98"/>
      <c r="R75" s="82"/>
    </row>
    <row r="76" spans="9:20" ht="12" hidden="1" thickBot="1" x14ac:dyDescent="0.25">
      <c r="I76" s="83"/>
      <c r="J76" s="84">
        <f>SUM(J46:J75)</f>
        <v>765</v>
      </c>
      <c r="K76" s="85"/>
      <c r="L76" s="86"/>
      <c r="M76" s="87">
        <f>+SUM(M46:M75)</f>
        <v>61511802.6020822</v>
      </c>
      <c r="N76" s="88">
        <f>SUM(N46:N75)</f>
        <v>99.999999999999986</v>
      </c>
    </row>
    <row r="77" spans="9:20" hidden="1" x14ac:dyDescent="0.2"/>
    <row r="78" spans="9:20" hidden="1" x14ac:dyDescent="0.2">
      <c r="I78" s="91"/>
      <c r="J78" s="15" t="s">
        <v>30</v>
      </c>
      <c r="M78" s="89"/>
    </row>
    <row r="79" spans="9:20" x14ac:dyDescent="0.2">
      <c r="M79" s="90"/>
    </row>
    <row r="80" spans="9:20" x14ac:dyDescent="0.2">
      <c r="M80" s="39"/>
    </row>
  </sheetData>
  <sheetProtection algorithmName="SHA-512" hashValue="50ngjjziGp5TP9Q4DcwQKSfiBsjB/DURxGbbjxvl21OCIWPX295gAiZ7ESqXy24/VqvAs1EHSRV8D3eoK7mn7Q==" saltValue="azxA4J7ki3mk8Ciurq90pg==" spinCount="100000" sheet="1" objects="1" scenarios="1" selectLockedCells="1"/>
  <mergeCells count="10">
    <mergeCell ref="C42:S42"/>
    <mergeCell ref="B2:S2"/>
    <mergeCell ref="B3:S3"/>
    <mergeCell ref="C6:D6"/>
    <mergeCell ref="F6:G6"/>
    <mergeCell ref="I6:R6"/>
    <mergeCell ref="C25:G28"/>
    <mergeCell ref="F12:F14"/>
    <mergeCell ref="G12:G13"/>
    <mergeCell ref="C33:G35"/>
  </mergeCells>
  <phoneticPr fontId="3" type="noConversion"/>
  <printOptions horizontalCentered="1"/>
  <pageMargins left="0.78740157480314965" right="0.78740157480314965" top="0.98425196850393704" bottom="0.98425196850393704" header="0.39370078740157483" footer="0.39370078740157483"/>
  <pageSetup paperSize="9" scale="61" orientation="landscape" r:id="rId1"/>
  <headerFooter alignWithMargins="0"/>
  <ignoredErrors>
    <ignoredError sqref="H8"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nchor moveWithCells="1">
                  <from>
                    <xdr:col>6</xdr:col>
                    <xdr:colOff>9525</xdr:colOff>
                    <xdr:row>12</xdr:row>
                    <xdr:rowOff>123825</xdr:rowOff>
                  </from>
                  <to>
                    <xdr:col>6</xdr:col>
                    <xdr:colOff>1104900</xdr:colOff>
                    <xdr:row>13</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1"/>
  <sheetViews>
    <sheetView showRowColHeaders="0" zoomScale="90" zoomScaleNormal="90" zoomScaleSheetLayoutView="90" workbookViewId="0">
      <selection activeCell="G8" sqref="G8"/>
    </sheetView>
  </sheetViews>
  <sheetFormatPr baseColWidth="10" defaultColWidth="9.140625" defaultRowHeight="12.75" x14ac:dyDescent="0.2"/>
  <cols>
    <col min="1" max="1" width="1.7109375" style="134" customWidth="1"/>
    <col min="2" max="2" width="3.7109375" style="134" customWidth="1"/>
    <col min="3" max="3" width="26.7109375" style="134" customWidth="1"/>
    <col min="4" max="4" width="22.7109375" style="134" customWidth="1"/>
    <col min="5" max="5" width="1.7109375" style="134" customWidth="1"/>
    <col min="6" max="6" width="26.7109375" style="134" customWidth="1"/>
    <col min="7" max="7" width="16.7109375" style="134" customWidth="1"/>
    <col min="8" max="8" width="1.7109375" style="134" customWidth="1"/>
    <col min="9" max="9" width="15.7109375" style="134" customWidth="1"/>
    <col min="10" max="12" width="14.7109375" style="134" customWidth="1"/>
    <col min="13" max="13" width="3.7109375" style="134" customWidth="1"/>
    <col min="14" max="14" width="1.7109375" style="134" customWidth="1"/>
    <col min="15" max="15" width="14.140625" style="134" customWidth="1"/>
    <col min="16" max="16" width="9.140625" style="134" customWidth="1"/>
    <col min="17" max="17" width="11.5703125" style="134" customWidth="1"/>
    <col min="18" max="16384" width="9.140625" style="134"/>
  </cols>
  <sheetData>
    <row r="1" spans="2:17" s="102" customFormat="1" ht="12.75" customHeight="1" x14ac:dyDescent="0.2">
      <c r="N1" s="103"/>
    </row>
    <row r="2" spans="2:17" s="102" customFormat="1" ht="15.75" customHeight="1" x14ac:dyDescent="0.2">
      <c r="B2" s="200" t="str">
        <f>+'VDF TV'!B2:S2</f>
        <v>FIDEICOMISO FINANCIERO SUPERVIELLE CRÉDITOS 89</v>
      </c>
      <c r="C2" s="200"/>
      <c r="D2" s="200"/>
      <c r="E2" s="200"/>
      <c r="F2" s="200"/>
      <c r="G2" s="200"/>
      <c r="H2" s="200"/>
      <c r="I2" s="200"/>
      <c r="J2" s="200"/>
      <c r="K2" s="200"/>
      <c r="L2" s="200"/>
      <c r="M2" s="200"/>
      <c r="N2" s="104"/>
      <c r="O2" s="105"/>
      <c r="P2" s="105"/>
      <c r="Q2" s="106"/>
    </row>
    <row r="3" spans="2:17" s="102" customFormat="1" ht="15" x14ac:dyDescent="0.2">
      <c r="B3" s="200" t="s">
        <v>45</v>
      </c>
      <c r="C3" s="200"/>
      <c r="D3" s="200"/>
      <c r="E3" s="200"/>
      <c r="F3" s="200"/>
      <c r="G3" s="200"/>
      <c r="H3" s="200"/>
      <c r="I3" s="200"/>
      <c r="J3" s="200"/>
      <c r="K3" s="200"/>
      <c r="L3" s="200"/>
      <c r="M3" s="200"/>
      <c r="N3" s="103"/>
      <c r="O3" s="105"/>
      <c r="P3" s="105"/>
      <c r="Q3" s="107"/>
    </row>
    <row r="4" spans="2:17" s="102" customFormat="1" ht="11.25" x14ac:dyDescent="0.2">
      <c r="D4" s="108"/>
      <c r="E4" s="108"/>
      <c r="O4" s="105"/>
      <c r="P4" s="109"/>
      <c r="Q4" s="107"/>
    </row>
    <row r="5" spans="2:17" s="110" customFormat="1" ht="11.25" x14ac:dyDescent="0.2">
      <c r="B5" s="136"/>
      <c r="C5" s="136"/>
      <c r="D5" s="137"/>
      <c r="E5" s="137"/>
      <c r="F5" s="136"/>
      <c r="G5" s="136"/>
      <c r="H5" s="136"/>
      <c r="I5" s="136"/>
      <c r="J5" s="136"/>
      <c r="K5" s="136"/>
      <c r="L5" s="136"/>
      <c r="M5" s="136"/>
      <c r="P5" s="109"/>
      <c r="Q5" s="105"/>
    </row>
    <row r="6" spans="2:17" s="110" customFormat="1" ht="12.75" customHeight="1" x14ac:dyDescent="0.2">
      <c r="B6" s="136"/>
      <c r="C6" s="147" t="s">
        <v>46</v>
      </c>
      <c r="D6" s="148"/>
      <c r="E6" s="137"/>
      <c r="F6" s="147" t="s">
        <v>0</v>
      </c>
      <c r="G6" s="148"/>
      <c r="H6" s="136"/>
      <c r="I6" s="177" t="s">
        <v>47</v>
      </c>
      <c r="J6" s="178"/>
      <c r="K6" s="178"/>
      <c r="L6" s="179"/>
      <c r="M6" s="136"/>
    </row>
    <row r="7" spans="2:17" s="110" customFormat="1" ht="12" thickBot="1" x14ac:dyDescent="0.25">
      <c r="B7" s="136"/>
      <c r="C7" s="13"/>
      <c r="D7" s="14"/>
      <c r="E7" s="137"/>
      <c r="F7" s="13"/>
      <c r="G7" s="13"/>
      <c r="H7" s="136"/>
      <c r="I7" s="199" t="s">
        <v>31</v>
      </c>
      <c r="J7" s="138"/>
      <c r="K7" s="138"/>
      <c r="L7" s="138"/>
      <c r="M7" s="136"/>
    </row>
    <row r="8" spans="2:17" s="110" customFormat="1" ht="13.5" customHeight="1" thickBot="1" x14ac:dyDescent="0.25">
      <c r="B8" s="136"/>
      <c r="C8" s="1" t="s">
        <v>1</v>
      </c>
      <c r="D8" s="17">
        <v>10000000.000000009</v>
      </c>
      <c r="E8" s="137"/>
      <c r="F8" s="2" t="s">
        <v>17</v>
      </c>
      <c r="G8" s="18">
        <v>10000000.000000009</v>
      </c>
      <c r="H8" s="142">
        <f>+G8/J100</f>
        <v>1.0000000000000009</v>
      </c>
      <c r="I8" s="190" t="s">
        <v>2</v>
      </c>
      <c r="J8" s="191" t="s">
        <v>4</v>
      </c>
      <c r="K8" s="191" t="s">
        <v>48</v>
      </c>
      <c r="L8" s="192" t="s">
        <v>5</v>
      </c>
      <c r="M8" s="136"/>
    </row>
    <row r="9" spans="2:17" s="110" customFormat="1" ht="12.75" customHeight="1" x14ac:dyDescent="0.2">
      <c r="B9" s="136"/>
      <c r="C9" s="3" t="s">
        <v>6</v>
      </c>
      <c r="D9" s="26">
        <v>0.04</v>
      </c>
      <c r="E9" s="137"/>
      <c r="F9" s="140"/>
      <c r="G9" s="140"/>
      <c r="H9" s="136"/>
      <c r="I9" s="193">
        <f>+D15</f>
        <v>42263</v>
      </c>
      <c r="J9" s="194"/>
      <c r="K9" s="194"/>
      <c r="L9" s="195">
        <f>-G8*G10</f>
        <v>-10000000.000000009</v>
      </c>
      <c r="M9" s="136"/>
      <c r="P9" s="111"/>
    </row>
    <row r="10" spans="2:17" s="110" customFormat="1" ht="12.75" customHeight="1" x14ac:dyDescent="0.2">
      <c r="B10" s="136"/>
      <c r="C10" s="3" t="s">
        <v>49</v>
      </c>
      <c r="D10" s="26" t="s">
        <v>50</v>
      </c>
      <c r="E10" s="137"/>
      <c r="F10" s="2" t="s">
        <v>11</v>
      </c>
      <c r="G10" s="135">
        <v>1</v>
      </c>
      <c r="H10" s="136"/>
      <c r="I10" s="193">
        <f>+I56</f>
        <v>42297</v>
      </c>
      <c r="J10" s="194">
        <f>+$H$8*J56</f>
        <v>0</v>
      </c>
      <c r="K10" s="194">
        <f>+$H$8*K56</f>
        <v>0</v>
      </c>
      <c r="L10" s="195">
        <f>SUM(J10:K10)</f>
        <v>0</v>
      </c>
      <c r="M10" s="136"/>
      <c r="P10" s="111"/>
    </row>
    <row r="11" spans="2:17" s="110" customFormat="1" ht="12.75" customHeight="1" x14ac:dyDescent="0.2">
      <c r="B11" s="136"/>
      <c r="C11" s="3" t="s">
        <v>51</v>
      </c>
      <c r="D11" s="26" t="s">
        <v>50</v>
      </c>
      <c r="E11" s="137"/>
      <c r="F11" s="140"/>
      <c r="G11" s="141"/>
      <c r="H11" s="136"/>
      <c r="I11" s="193">
        <f t="shared" ref="I11:I47" si="0">+I57</f>
        <v>42328</v>
      </c>
      <c r="J11" s="194">
        <f t="shared" ref="J11:K11" si="1">+$H$8*J57</f>
        <v>0</v>
      </c>
      <c r="K11" s="194">
        <f t="shared" si="1"/>
        <v>0</v>
      </c>
      <c r="L11" s="195">
        <f t="shared" ref="L11:L47" si="2">SUM(J11:K11)</f>
        <v>0</v>
      </c>
      <c r="M11" s="136"/>
      <c r="P11" s="111"/>
    </row>
    <row r="12" spans="2:17" s="110" customFormat="1" ht="12.75" customHeight="1" x14ac:dyDescent="0.2">
      <c r="B12" s="136"/>
      <c r="C12" s="3" t="s">
        <v>52</v>
      </c>
      <c r="D12" s="26" t="s">
        <v>50</v>
      </c>
      <c r="E12" s="136"/>
      <c r="F12" s="2" t="s">
        <v>7</v>
      </c>
      <c r="G12" s="46">
        <f>XIRR(L9:L47,I9:I47)</f>
        <v>0.36326865553855903</v>
      </c>
      <c r="H12" s="136"/>
      <c r="I12" s="193">
        <f t="shared" si="0"/>
        <v>42359</v>
      </c>
      <c r="J12" s="194">
        <f t="shared" ref="J12:K12" si="3">+$H$8*J58</f>
        <v>0</v>
      </c>
      <c r="K12" s="194">
        <f t="shared" si="3"/>
        <v>0</v>
      </c>
      <c r="L12" s="195">
        <f t="shared" si="2"/>
        <v>0</v>
      </c>
      <c r="M12" s="136"/>
      <c r="P12" s="111"/>
    </row>
    <row r="13" spans="2:17" s="110" customFormat="1" ht="12.75" customHeight="1" x14ac:dyDescent="0.2">
      <c r="B13" s="136"/>
      <c r="C13" s="3" t="s">
        <v>9</v>
      </c>
      <c r="D13" s="26" t="s">
        <v>50</v>
      </c>
      <c r="E13" s="136"/>
      <c r="F13" s="27"/>
      <c r="G13" s="27"/>
      <c r="H13" s="136"/>
      <c r="I13" s="193">
        <f t="shared" si="0"/>
        <v>42389</v>
      </c>
      <c r="J13" s="194">
        <f t="shared" ref="J13:K13" si="4">+$H$8*J59</f>
        <v>0</v>
      </c>
      <c r="K13" s="194">
        <f t="shared" si="4"/>
        <v>0</v>
      </c>
      <c r="L13" s="195">
        <f t="shared" si="2"/>
        <v>0</v>
      </c>
      <c r="M13" s="136"/>
      <c r="P13" s="111"/>
    </row>
    <row r="14" spans="2:17" s="110" customFormat="1" ht="12.75" customHeight="1" x14ac:dyDescent="0.2">
      <c r="B14" s="136"/>
      <c r="C14" s="3" t="s">
        <v>10</v>
      </c>
      <c r="D14" s="26" t="s">
        <v>50</v>
      </c>
      <c r="E14" s="136"/>
      <c r="F14" s="2" t="s">
        <v>8</v>
      </c>
      <c r="G14" s="46">
        <f>NOMINAL(G12,12)</f>
        <v>0.31392110745499391</v>
      </c>
      <c r="H14" s="136"/>
      <c r="I14" s="193">
        <f t="shared" si="0"/>
        <v>42422</v>
      </c>
      <c r="J14" s="194">
        <f t="shared" ref="J14:K14" si="5">+$H$8*J60</f>
        <v>0</v>
      </c>
      <c r="K14" s="194">
        <f t="shared" si="5"/>
        <v>0</v>
      </c>
      <c r="L14" s="195">
        <f t="shared" si="2"/>
        <v>0</v>
      </c>
      <c r="M14" s="136"/>
      <c r="P14" s="111"/>
    </row>
    <row r="15" spans="2:17" s="110" customFormat="1" ht="12.75" customHeight="1" x14ac:dyDescent="0.2">
      <c r="B15" s="136"/>
      <c r="C15" s="3" t="s">
        <v>12</v>
      </c>
      <c r="D15" s="41">
        <v>42263</v>
      </c>
      <c r="E15" s="136"/>
      <c r="F15" s="27"/>
      <c r="G15" s="27"/>
      <c r="H15" s="136"/>
      <c r="I15" s="193">
        <f t="shared" si="0"/>
        <v>42450</v>
      </c>
      <c r="J15" s="194">
        <f t="shared" ref="J15:K15" si="6">+$H$8*J61</f>
        <v>0</v>
      </c>
      <c r="K15" s="194">
        <f t="shared" si="6"/>
        <v>0</v>
      </c>
      <c r="L15" s="195">
        <f t="shared" si="2"/>
        <v>0</v>
      </c>
      <c r="M15" s="136"/>
      <c r="P15" s="111"/>
    </row>
    <row r="16" spans="2:17" s="110" customFormat="1" ht="12.75" customHeight="1" x14ac:dyDescent="0.2">
      <c r="B16" s="136"/>
      <c r="C16" s="4" t="s">
        <v>13</v>
      </c>
      <c r="D16" s="42">
        <v>27.01</v>
      </c>
      <c r="E16" s="136"/>
      <c r="F16" s="6" t="s">
        <v>53</v>
      </c>
      <c r="G16" s="47">
        <f>+G8*G10</f>
        <v>10000000.000000009</v>
      </c>
      <c r="H16" s="136"/>
      <c r="I16" s="193">
        <f t="shared" si="0"/>
        <v>42480</v>
      </c>
      <c r="J16" s="194">
        <f t="shared" ref="J16:K16" si="7">+$H$8*J62</f>
        <v>0</v>
      </c>
      <c r="K16" s="194">
        <f t="shared" si="7"/>
        <v>0</v>
      </c>
      <c r="L16" s="195">
        <f t="shared" si="2"/>
        <v>0</v>
      </c>
      <c r="M16" s="136"/>
      <c r="P16" s="111"/>
    </row>
    <row r="17" spans="2:16" s="110" customFormat="1" ht="12.75" customHeight="1" x14ac:dyDescent="0.2">
      <c r="B17" s="136"/>
      <c r="C17" s="4" t="s">
        <v>14</v>
      </c>
      <c r="D17" s="44">
        <v>38.17</v>
      </c>
      <c r="E17" s="136"/>
      <c r="F17" s="13"/>
      <c r="G17" s="13"/>
      <c r="H17" s="136"/>
      <c r="I17" s="193">
        <f t="shared" si="0"/>
        <v>42510</v>
      </c>
      <c r="J17" s="194">
        <f t="shared" ref="J17:K17" si="8">+$H$8*J63</f>
        <v>0</v>
      </c>
      <c r="K17" s="194">
        <f t="shared" si="8"/>
        <v>0</v>
      </c>
      <c r="L17" s="195">
        <f t="shared" si="2"/>
        <v>0</v>
      </c>
      <c r="M17" s="136"/>
      <c r="P17" s="111"/>
    </row>
    <row r="18" spans="2:16" s="110" customFormat="1" ht="12.75" customHeight="1" x14ac:dyDescent="0.2">
      <c r="B18" s="136"/>
      <c r="C18" s="5" t="s">
        <v>15</v>
      </c>
      <c r="D18" s="45" t="s">
        <v>54</v>
      </c>
      <c r="E18" s="136"/>
      <c r="F18" s="136"/>
      <c r="G18" s="136"/>
      <c r="H18" s="136"/>
      <c r="I18" s="193">
        <f t="shared" si="0"/>
        <v>42541</v>
      </c>
      <c r="J18" s="194">
        <f t="shared" ref="J18:K18" si="9">+$H$8*J64</f>
        <v>0</v>
      </c>
      <c r="K18" s="194">
        <f t="shared" si="9"/>
        <v>0</v>
      </c>
      <c r="L18" s="195">
        <f t="shared" si="2"/>
        <v>0</v>
      </c>
      <c r="M18" s="136"/>
    </row>
    <row r="19" spans="2:16" s="110" customFormat="1" ht="11.25" x14ac:dyDescent="0.2">
      <c r="B19" s="136"/>
      <c r="C19" s="136"/>
      <c r="D19" s="136"/>
      <c r="E19" s="136"/>
      <c r="F19" s="136"/>
      <c r="G19" s="136"/>
      <c r="H19" s="136"/>
      <c r="I19" s="193">
        <f t="shared" si="0"/>
        <v>42571</v>
      </c>
      <c r="J19" s="194">
        <f t="shared" ref="J19:K19" si="10">+$H$8*J65</f>
        <v>0</v>
      </c>
      <c r="K19" s="194">
        <f t="shared" si="10"/>
        <v>0</v>
      </c>
      <c r="L19" s="195">
        <f t="shared" si="2"/>
        <v>0</v>
      </c>
      <c r="M19" s="136"/>
    </row>
    <row r="20" spans="2:16" s="110" customFormat="1" ht="11.25" x14ac:dyDescent="0.2">
      <c r="H20" s="136"/>
      <c r="I20" s="193">
        <f t="shared" si="0"/>
        <v>42604</v>
      </c>
      <c r="J20" s="194">
        <f t="shared" ref="J20:K20" si="11">+$H$8*J66</f>
        <v>0</v>
      </c>
      <c r="K20" s="194">
        <f t="shared" si="11"/>
        <v>0</v>
      </c>
      <c r="L20" s="195">
        <f t="shared" si="2"/>
        <v>0</v>
      </c>
      <c r="M20" s="136"/>
    </row>
    <row r="21" spans="2:16" s="110" customFormat="1" ht="11.25" x14ac:dyDescent="0.2">
      <c r="B21" s="110" t="s">
        <v>55</v>
      </c>
      <c r="H21" s="136"/>
      <c r="I21" s="193">
        <f t="shared" si="0"/>
        <v>42633</v>
      </c>
      <c r="J21" s="194">
        <f t="shared" ref="J21:K21" si="12">+$H$8*J67</f>
        <v>0</v>
      </c>
      <c r="K21" s="194">
        <f t="shared" si="12"/>
        <v>0</v>
      </c>
      <c r="L21" s="195">
        <f t="shared" si="2"/>
        <v>0</v>
      </c>
      <c r="M21" s="136"/>
    </row>
    <row r="22" spans="2:16" s="110" customFormat="1" ht="11.25" x14ac:dyDescent="0.2">
      <c r="B22" s="110" t="s">
        <v>56</v>
      </c>
      <c r="H22" s="136"/>
      <c r="I22" s="193">
        <f t="shared" si="0"/>
        <v>42663</v>
      </c>
      <c r="J22" s="194">
        <f t="shared" ref="J22:K22" si="13">+$H$8*J68</f>
        <v>0</v>
      </c>
      <c r="K22" s="194">
        <f t="shared" si="13"/>
        <v>0</v>
      </c>
      <c r="L22" s="195">
        <f t="shared" si="2"/>
        <v>0</v>
      </c>
      <c r="M22" s="136"/>
    </row>
    <row r="23" spans="2:16" s="110" customFormat="1" ht="11.25" x14ac:dyDescent="0.2">
      <c r="B23" s="110" t="s">
        <v>57</v>
      </c>
      <c r="H23" s="136"/>
      <c r="I23" s="193">
        <f t="shared" si="0"/>
        <v>42695</v>
      </c>
      <c r="J23" s="194">
        <f t="shared" ref="J23:K23" si="14">+$H$8*J69</f>
        <v>0</v>
      </c>
      <c r="K23" s="194">
        <f t="shared" si="14"/>
        <v>0</v>
      </c>
      <c r="L23" s="195">
        <f t="shared" si="2"/>
        <v>0</v>
      </c>
      <c r="M23" s="136"/>
    </row>
    <row r="24" spans="2:16" s="110" customFormat="1" ht="12" thickBot="1" x14ac:dyDescent="0.25">
      <c r="H24" s="136"/>
      <c r="I24" s="193">
        <f t="shared" si="0"/>
        <v>42724</v>
      </c>
      <c r="J24" s="194">
        <f t="shared" ref="J24:K24" si="15">+$H$8*J70</f>
        <v>0</v>
      </c>
      <c r="K24" s="194">
        <f t="shared" si="15"/>
        <v>0</v>
      </c>
      <c r="L24" s="195">
        <f t="shared" si="2"/>
        <v>0</v>
      </c>
      <c r="M24" s="136"/>
    </row>
    <row r="25" spans="2:16" s="110" customFormat="1" ht="11.25" x14ac:dyDescent="0.2">
      <c r="B25" s="165" t="s">
        <v>58</v>
      </c>
      <c r="C25" s="166"/>
      <c r="D25" s="166"/>
      <c r="E25" s="166"/>
      <c r="F25" s="167"/>
      <c r="H25" s="136"/>
      <c r="I25" s="193">
        <f t="shared" si="0"/>
        <v>42755</v>
      </c>
      <c r="J25" s="194">
        <f t="shared" ref="J25:K25" si="16">+$H$8*J71</f>
        <v>0</v>
      </c>
      <c r="K25" s="194">
        <f t="shared" si="16"/>
        <v>0</v>
      </c>
      <c r="L25" s="195">
        <f t="shared" si="2"/>
        <v>0</v>
      </c>
      <c r="M25" s="136"/>
    </row>
    <row r="26" spans="2:16" s="110" customFormat="1" ht="11.25" x14ac:dyDescent="0.2">
      <c r="B26" s="168"/>
      <c r="C26" s="169"/>
      <c r="D26" s="169"/>
      <c r="E26" s="169"/>
      <c r="F26" s="170"/>
      <c r="H26" s="136"/>
      <c r="I26" s="193">
        <f t="shared" si="0"/>
        <v>42786</v>
      </c>
      <c r="J26" s="194">
        <f t="shared" ref="J26:K26" si="17">+$H$8*J72</f>
        <v>0</v>
      </c>
      <c r="K26" s="194">
        <f t="shared" si="17"/>
        <v>0</v>
      </c>
      <c r="L26" s="195">
        <f t="shared" si="2"/>
        <v>0</v>
      </c>
      <c r="M26" s="136"/>
    </row>
    <row r="27" spans="2:16" s="110" customFormat="1" ht="11.25" x14ac:dyDescent="0.2">
      <c r="B27" s="168"/>
      <c r="C27" s="169"/>
      <c r="D27" s="169"/>
      <c r="E27" s="169"/>
      <c r="F27" s="170"/>
      <c r="H27" s="136"/>
      <c r="I27" s="193">
        <f t="shared" si="0"/>
        <v>42814</v>
      </c>
      <c r="J27" s="194">
        <f t="shared" ref="J27:K27" si="18">+$H$8*J73</f>
        <v>0</v>
      </c>
      <c r="K27" s="194">
        <f t="shared" si="18"/>
        <v>0</v>
      </c>
      <c r="L27" s="195">
        <f t="shared" si="2"/>
        <v>0</v>
      </c>
      <c r="M27" s="136"/>
    </row>
    <row r="28" spans="2:16" s="110" customFormat="1" ht="11.25" x14ac:dyDescent="0.2">
      <c r="B28" s="168"/>
      <c r="C28" s="169"/>
      <c r="D28" s="169"/>
      <c r="E28" s="169"/>
      <c r="F28" s="170"/>
      <c r="H28" s="136"/>
      <c r="I28" s="193">
        <f t="shared" si="0"/>
        <v>42845</v>
      </c>
      <c r="J28" s="194">
        <f t="shared" ref="J28:K28" si="19">+$H$8*J74</f>
        <v>0</v>
      </c>
      <c r="K28" s="194">
        <f t="shared" si="19"/>
        <v>0</v>
      </c>
      <c r="L28" s="195">
        <f t="shared" si="2"/>
        <v>0</v>
      </c>
      <c r="M28" s="136"/>
    </row>
    <row r="29" spans="2:16" s="110" customFormat="1" ht="12" thickBot="1" x14ac:dyDescent="0.25">
      <c r="B29" s="171"/>
      <c r="C29" s="172"/>
      <c r="D29" s="172"/>
      <c r="E29" s="172"/>
      <c r="F29" s="173"/>
      <c r="H29" s="136"/>
      <c r="I29" s="193">
        <f t="shared" si="0"/>
        <v>42877</v>
      </c>
      <c r="J29" s="194">
        <f t="shared" ref="J29:K29" si="20">+$H$8*J75</f>
        <v>0</v>
      </c>
      <c r="K29" s="194">
        <f t="shared" si="20"/>
        <v>0</v>
      </c>
      <c r="L29" s="195">
        <f t="shared" si="2"/>
        <v>0</v>
      </c>
      <c r="M29" s="136"/>
    </row>
    <row r="30" spans="2:16" s="110" customFormat="1" ht="12" thickBot="1" x14ac:dyDescent="0.25">
      <c r="H30" s="136"/>
      <c r="I30" s="193">
        <f t="shared" si="0"/>
        <v>42906</v>
      </c>
      <c r="J30" s="194">
        <f t="shared" ref="J30:K30" si="21">+$H$8*J76</f>
        <v>0</v>
      </c>
      <c r="K30" s="194">
        <f t="shared" si="21"/>
        <v>0</v>
      </c>
      <c r="L30" s="195">
        <f t="shared" si="2"/>
        <v>0</v>
      </c>
      <c r="M30" s="136"/>
    </row>
    <row r="31" spans="2:16" s="110" customFormat="1" ht="11.25" x14ac:dyDescent="0.2">
      <c r="B31" s="165" t="s">
        <v>61</v>
      </c>
      <c r="C31" s="166"/>
      <c r="D31" s="166"/>
      <c r="E31" s="166"/>
      <c r="F31" s="167"/>
      <c r="H31" s="136"/>
      <c r="I31" s="193">
        <f t="shared" si="0"/>
        <v>42936</v>
      </c>
      <c r="J31" s="194">
        <f t="shared" ref="J31:K31" si="22">+$H$8*J77</f>
        <v>0</v>
      </c>
      <c r="K31" s="194">
        <f t="shared" si="22"/>
        <v>0</v>
      </c>
      <c r="L31" s="195">
        <f t="shared" si="2"/>
        <v>0</v>
      </c>
      <c r="M31" s="136"/>
    </row>
    <row r="32" spans="2:16" s="110" customFormat="1" ht="11.25" x14ac:dyDescent="0.2">
      <c r="B32" s="168"/>
      <c r="C32" s="169"/>
      <c r="D32" s="169"/>
      <c r="E32" s="169"/>
      <c r="F32" s="170"/>
      <c r="H32" s="136"/>
      <c r="I32" s="193">
        <f t="shared" si="0"/>
        <v>42968</v>
      </c>
      <c r="J32" s="194">
        <f t="shared" ref="J32:K32" si="23">+$H$8*J78</f>
        <v>0</v>
      </c>
      <c r="K32" s="194">
        <f t="shared" si="23"/>
        <v>0</v>
      </c>
      <c r="L32" s="195">
        <f t="shared" si="2"/>
        <v>0</v>
      </c>
      <c r="M32" s="136"/>
    </row>
    <row r="33" spans="2:13" s="110" customFormat="1" ht="11.25" x14ac:dyDescent="0.2">
      <c r="B33" s="168"/>
      <c r="C33" s="169"/>
      <c r="D33" s="169"/>
      <c r="E33" s="169"/>
      <c r="F33" s="170"/>
      <c r="H33" s="136"/>
      <c r="I33" s="193">
        <f t="shared" si="0"/>
        <v>42998</v>
      </c>
      <c r="J33" s="194">
        <f t="shared" ref="J33:K33" si="24">+$H$8*J79</f>
        <v>0</v>
      </c>
      <c r="K33" s="194">
        <f t="shared" si="24"/>
        <v>0</v>
      </c>
      <c r="L33" s="195">
        <f t="shared" si="2"/>
        <v>0</v>
      </c>
      <c r="M33" s="136"/>
    </row>
    <row r="34" spans="2:13" s="110" customFormat="1" ht="13.5" customHeight="1" x14ac:dyDescent="0.2">
      <c r="B34" s="168"/>
      <c r="C34" s="169"/>
      <c r="D34" s="169"/>
      <c r="E34" s="169"/>
      <c r="F34" s="170"/>
      <c r="H34" s="136"/>
      <c r="I34" s="193">
        <f t="shared" si="0"/>
        <v>43028</v>
      </c>
      <c r="J34" s="194">
        <f t="shared" ref="J34:K34" si="25">+$H$8*J80</f>
        <v>2746301.0000000023</v>
      </c>
      <c r="K34" s="194">
        <f t="shared" si="25"/>
        <v>0</v>
      </c>
      <c r="L34" s="195">
        <f t="shared" si="2"/>
        <v>2746301.0000000023</v>
      </c>
      <c r="M34" s="136"/>
    </row>
    <row r="35" spans="2:13" s="110" customFormat="1" ht="11.25" x14ac:dyDescent="0.2">
      <c r="B35" s="168"/>
      <c r="C35" s="169"/>
      <c r="D35" s="169"/>
      <c r="E35" s="169"/>
      <c r="F35" s="170"/>
      <c r="H35" s="136"/>
      <c r="I35" s="193">
        <f t="shared" si="0"/>
        <v>43059</v>
      </c>
      <c r="J35" s="194">
        <f t="shared" ref="J35:K35" si="26">+$H$8*J81</f>
        <v>4802333.0000000047</v>
      </c>
      <c r="K35" s="194">
        <f t="shared" si="26"/>
        <v>0</v>
      </c>
      <c r="L35" s="195">
        <f t="shared" si="2"/>
        <v>4802333.0000000047</v>
      </c>
      <c r="M35" s="136"/>
    </row>
    <row r="36" spans="2:13" s="110" customFormat="1" ht="11.25" x14ac:dyDescent="0.2">
      <c r="B36" s="168"/>
      <c r="C36" s="169"/>
      <c r="D36" s="169"/>
      <c r="E36" s="169"/>
      <c r="F36" s="170"/>
      <c r="H36" s="136"/>
      <c r="I36" s="193">
        <f t="shared" si="0"/>
        <v>43089</v>
      </c>
      <c r="J36" s="194">
        <f t="shared" ref="J36:K36" si="27">+$H$8*J82</f>
        <v>2451266.0000000023</v>
      </c>
      <c r="K36" s="194">
        <f t="shared" si="27"/>
        <v>1251913.0000000012</v>
      </c>
      <c r="L36" s="195">
        <f t="shared" si="2"/>
        <v>3703179.0000000037</v>
      </c>
      <c r="M36" s="136"/>
    </row>
    <row r="37" spans="2:13" s="110" customFormat="1" ht="11.25" x14ac:dyDescent="0.2">
      <c r="B37" s="168"/>
      <c r="C37" s="169"/>
      <c r="D37" s="169"/>
      <c r="E37" s="169"/>
      <c r="F37" s="170"/>
      <c r="H37" s="136"/>
      <c r="I37" s="193">
        <f t="shared" si="0"/>
        <v>43122</v>
      </c>
      <c r="J37" s="194">
        <f t="shared" ref="J37:K37" si="28">+$H$8*J83</f>
        <v>0</v>
      </c>
      <c r="K37" s="194">
        <f t="shared" si="28"/>
        <v>3485679.0000000033</v>
      </c>
      <c r="L37" s="195">
        <f t="shared" si="2"/>
        <v>3485679.0000000033</v>
      </c>
      <c r="M37" s="136"/>
    </row>
    <row r="38" spans="2:13" s="110" customFormat="1" ht="14.25" customHeight="1" x14ac:dyDescent="0.2">
      <c r="B38" s="168"/>
      <c r="C38" s="169"/>
      <c r="D38" s="169"/>
      <c r="E38" s="169"/>
      <c r="F38" s="170"/>
      <c r="H38" s="136"/>
      <c r="I38" s="193">
        <f t="shared" si="0"/>
        <v>43151</v>
      </c>
      <c r="J38" s="194">
        <f t="shared" ref="J38:K38" si="29">+$H$8*J84</f>
        <v>0</v>
      </c>
      <c r="K38" s="194">
        <f t="shared" si="29"/>
        <v>2305808.0000000019</v>
      </c>
      <c r="L38" s="195">
        <f t="shared" si="2"/>
        <v>2305808.0000000019</v>
      </c>
      <c r="M38" s="136"/>
    </row>
    <row r="39" spans="2:13" s="110" customFormat="1" ht="11.25" x14ac:dyDescent="0.2">
      <c r="B39" s="168"/>
      <c r="C39" s="169"/>
      <c r="D39" s="169"/>
      <c r="E39" s="169"/>
      <c r="F39" s="170"/>
      <c r="H39" s="136"/>
      <c r="I39" s="193">
        <f t="shared" si="0"/>
        <v>43179</v>
      </c>
      <c r="J39" s="194">
        <f t="shared" ref="J39:K39" si="30">+$H$8*J85</f>
        <v>0</v>
      </c>
      <c r="K39" s="194">
        <f t="shared" si="30"/>
        <v>900094.00000000081</v>
      </c>
      <c r="L39" s="195">
        <f t="shared" si="2"/>
        <v>900094.00000000081</v>
      </c>
      <c r="M39" s="136"/>
    </row>
    <row r="40" spans="2:13" s="110" customFormat="1" ht="12" thickBot="1" x14ac:dyDescent="0.25">
      <c r="B40" s="171"/>
      <c r="C40" s="172"/>
      <c r="D40" s="172"/>
      <c r="E40" s="172"/>
      <c r="F40" s="173"/>
      <c r="H40" s="136"/>
      <c r="I40" s="193">
        <f t="shared" si="0"/>
        <v>43210</v>
      </c>
      <c r="J40" s="194">
        <f t="shared" ref="J40:K40" si="31">+$H$8*J86</f>
        <v>0</v>
      </c>
      <c r="K40" s="194">
        <f t="shared" si="31"/>
        <v>556465.00000000047</v>
      </c>
      <c r="L40" s="195">
        <f t="shared" si="2"/>
        <v>556465.00000000047</v>
      </c>
      <c r="M40" s="136"/>
    </row>
    <row r="41" spans="2:13" s="110" customFormat="1" ht="11.25" x14ac:dyDescent="0.2">
      <c r="H41" s="136"/>
      <c r="I41" s="193">
        <f t="shared" si="0"/>
        <v>43241</v>
      </c>
      <c r="J41" s="194">
        <f t="shared" ref="J41:K41" si="32">+$H$8*J87</f>
        <v>0</v>
      </c>
      <c r="K41" s="194">
        <f t="shared" si="32"/>
        <v>540422.00000000047</v>
      </c>
      <c r="L41" s="195">
        <f t="shared" si="2"/>
        <v>540422.00000000047</v>
      </c>
      <c r="M41" s="136"/>
    </row>
    <row r="42" spans="2:13" s="110" customFormat="1" ht="11.25" x14ac:dyDescent="0.2">
      <c r="H42" s="136"/>
      <c r="I42" s="193">
        <f t="shared" si="0"/>
        <v>43271</v>
      </c>
      <c r="J42" s="194">
        <f t="shared" ref="J42:K42" si="33">+$H$8*J88</f>
        <v>0</v>
      </c>
      <c r="K42" s="194">
        <f t="shared" si="33"/>
        <v>329959.00000000029</v>
      </c>
      <c r="L42" s="195">
        <f t="shared" si="2"/>
        <v>329959.00000000029</v>
      </c>
      <c r="M42" s="136"/>
    </row>
    <row r="43" spans="2:13" s="110" customFormat="1" ht="11.25" x14ac:dyDescent="0.2">
      <c r="H43" s="136"/>
      <c r="I43" s="193">
        <f t="shared" si="0"/>
        <v>43301</v>
      </c>
      <c r="J43" s="194">
        <f t="shared" ref="J43:K43" si="34">+$H$8*J89</f>
        <v>0</v>
      </c>
      <c r="K43" s="194">
        <f t="shared" si="34"/>
        <v>481169.00000000041</v>
      </c>
      <c r="L43" s="195">
        <f t="shared" si="2"/>
        <v>481169.00000000041</v>
      </c>
      <c r="M43" s="136"/>
    </row>
    <row r="44" spans="2:13" s="110" customFormat="1" ht="11.25" x14ac:dyDescent="0.2">
      <c r="H44" s="136"/>
      <c r="I44" s="193">
        <f t="shared" si="0"/>
        <v>43332</v>
      </c>
      <c r="J44" s="194">
        <f t="shared" ref="J44:K44" si="35">+$H$8*J90</f>
        <v>0</v>
      </c>
      <c r="K44" s="194">
        <f t="shared" si="35"/>
        <v>273589.00000000023</v>
      </c>
      <c r="L44" s="195">
        <f t="shared" si="2"/>
        <v>273589.00000000023</v>
      </c>
      <c r="M44" s="136"/>
    </row>
    <row r="45" spans="2:13" s="110" customFormat="1" ht="11.25" x14ac:dyDescent="0.2">
      <c r="H45" s="136"/>
      <c r="I45" s="193">
        <f t="shared" si="0"/>
        <v>43363</v>
      </c>
      <c r="J45" s="194">
        <f t="shared" ref="J45:K45" si="36">+$H$8*J91</f>
        <v>0</v>
      </c>
      <c r="K45" s="194">
        <f t="shared" si="36"/>
        <v>180467.00000000017</v>
      </c>
      <c r="L45" s="195">
        <f t="shared" si="2"/>
        <v>180467.00000000017</v>
      </c>
      <c r="M45" s="136"/>
    </row>
    <row r="46" spans="2:13" s="110" customFormat="1" ht="11.25" x14ac:dyDescent="0.2">
      <c r="H46" s="136"/>
      <c r="I46" s="193">
        <f t="shared" si="0"/>
        <v>43395</v>
      </c>
      <c r="J46" s="194">
        <f t="shared" ref="J46:K46" si="37">+$H$8*J92</f>
        <v>0</v>
      </c>
      <c r="K46" s="194">
        <f t="shared" si="37"/>
        <v>184525.00000000017</v>
      </c>
      <c r="L46" s="195">
        <f t="shared" si="2"/>
        <v>184525.00000000017</v>
      </c>
      <c r="M46" s="136"/>
    </row>
    <row r="47" spans="2:13" s="110" customFormat="1" ht="12" thickBot="1" x14ac:dyDescent="0.25">
      <c r="H47" s="136"/>
      <c r="I47" s="193">
        <f t="shared" si="0"/>
        <v>43424</v>
      </c>
      <c r="J47" s="194">
        <f t="shared" ref="J47:K47" si="38">+$H$8*J93</f>
        <v>100.00000000000009</v>
      </c>
      <c r="K47" s="194">
        <f t="shared" si="38"/>
        <v>81018.000000000073</v>
      </c>
      <c r="L47" s="195">
        <f t="shared" si="2"/>
        <v>81118.000000000073</v>
      </c>
      <c r="M47" s="136"/>
    </row>
    <row r="48" spans="2:13" s="110" customFormat="1" ht="12" thickBot="1" x14ac:dyDescent="0.25">
      <c r="H48" s="136"/>
      <c r="I48" s="196" t="s">
        <v>5</v>
      </c>
      <c r="J48" s="197">
        <f>SUM(J10:J47)</f>
        <v>10000000.000000009</v>
      </c>
      <c r="K48" s="197">
        <f>SUM(K10:K47)</f>
        <v>10571108.000000007</v>
      </c>
      <c r="L48" s="198">
        <f>SUM(L10:L47)</f>
        <v>20571108.000000015</v>
      </c>
      <c r="M48" s="136"/>
    </row>
    <row r="49" spans="3:14" s="110" customFormat="1" ht="11.25" x14ac:dyDescent="0.2">
      <c r="H49" s="136"/>
      <c r="I49" s="136"/>
      <c r="J49" s="139"/>
      <c r="K49" s="139"/>
      <c r="L49" s="139"/>
      <c r="M49" s="136"/>
    </row>
    <row r="50" spans="3:14" s="110" customFormat="1" ht="11.25" x14ac:dyDescent="0.2">
      <c r="I50" s="112"/>
      <c r="J50" s="112"/>
      <c r="K50" s="112"/>
      <c r="L50" s="112"/>
    </row>
    <row r="51" spans="3:14" s="110" customFormat="1" ht="13.5" customHeight="1" thickBot="1" x14ac:dyDescent="0.25"/>
    <row r="52" spans="3:14" s="110" customFormat="1" ht="111.75" customHeight="1" thickTop="1" thickBot="1" x14ac:dyDescent="0.25">
      <c r="C52" s="174" t="s">
        <v>21</v>
      </c>
      <c r="D52" s="175"/>
      <c r="E52" s="175"/>
      <c r="F52" s="175"/>
      <c r="G52" s="175"/>
      <c r="H52" s="175"/>
      <c r="I52" s="175"/>
      <c r="J52" s="175"/>
      <c r="K52" s="175"/>
      <c r="L52" s="176"/>
    </row>
    <row r="53" spans="3:14" s="110" customFormat="1" ht="12" thickTop="1" x14ac:dyDescent="0.2">
      <c r="D53" s="113"/>
    </row>
    <row r="54" spans="3:14" s="110" customFormat="1" ht="14.25" hidden="1" customHeight="1" thickBot="1" x14ac:dyDescent="0.25">
      <c r="I54" s="114" t="s">
        <v>2</v>
      </c>
      <c r="J54" s="115" t="s">
        <v>4</v>
      </c>
      <c r="K54" s="115" t="s">
        <v>48</v>
      </c>
      <c r="L54" s="116" t="s">
        <v>5</v>
      </c>
    </row>
    <row r="55" spans="3:14" s="110" customFormat="1" ht="11.25" hidden="1" x14ac:dyDescent="0.2">
      <c r="F55" s="117" t="s">
        <v>59</v>
      </c>
      <c r="G55" s="118">
        <v>1</v>
      </c>
      <c r="I55" s="119">
        <f>D15</f>
        <v>42263</v>
      </c>
      <c r="J55" s="120"/>
      <c r="K55" s="121"/>
      <c r="L55" s="122">
        <f>-D8*G10</f>
        <v>-10000000.000000009</v>
      </c>
    </row>
    <row r="56" spans="3:14" s="110" customFormat="1" ht="11.25" hidden="1" x14ac:dyDescent="0.2">
      <c r="F56" s="117" t="s">
        <v>60</v>
      </c>
      <c r="G56" s="118">
        <v>0.36330000000000001</v>
      </c>
      <c r="H56" s="123"/>
      <c r="I56" s="124">
        <v>42297</v>
      </c>
      <c r="J56" s="125">
        <v>0</v>
      </c>
      <c r="K56" s="125">
        <v>0</v>
      </c>
      <c r="L56" s="126">
        <f t="shared" ref="L56:L93" si="39">+K56+J56</f>
        <v>0</v>
      </c>
      <c r="N56" s="127"/>
    </row>
    <row r="57" spans="3:14" s="110" customFormat="1" ht="11.25" hidden="1" x14ac:dyDescent="0.2">
      <c r="I57" s="124">
        <v>42328</v>
      </c>
      <c r="J57" s="125">
        <v>0</v>
      </c>
      <c r="K57" s="125">
        <v>0</v>
      </c>
      <c r="L57" s="126">
        <f t="shared" si="39"/>
        <v>0</v>
      </c>
      <c r="N57" s="127"/>
    </row>
    <row r="58" spans="3:14" s="110" customFormat="1" ht="11.25" hidden="1" x14ac:dyDescent="0.2">
      <c r="I58" s="124">
        <v>42359</v>
      </c>
      <c r="J58" s="125">
        <v>0</v>
      </c>
      <c r="K58" s="125">
        <v>0</v>
      </c>
      <c r="L58" s="126">
        <f t="shared" si="39"/>
        <v>0</v>
      </c>
      <c r="N58" s="127"/>
    </row>
    <row r="59" spans="3:14" s="110" customFormat="1" ht="11.25" hidden="1" x14ac:dyDescent="0.2">
      <c r="I59" s="124">
        <v>42389</v>
      </c>
      <c r="J59" s="125">
        <v>0</v>
      </c>
      <c r="K59" s="125">
        <v>0</v>
      </c>
      <c r="L59" s="126">
        <f t="shared" si="39"/>
        <v>0</v>
      </c>
      <c r="N59" s="127"/>
    </row>
    <row r="60" spans="3:14" s="110" customFormat="1" ht="11.25" hidden="1" x14ac:dyDescent="0.2">
      <c r="I60" s="124">
        <v>42422</v>
      </c>
      <c r="J60" s="125">
        <v>0</v>
      </c>
      <c r="K60" s="125">
        <v>0</v>
      </c>
      <c r="L60" s="126">
        <f t="shared" si="39"/>
        <v>0</v>
      </c>
      <c r="N60" s="127"/>
    </row>
    <row r="61" spans="3:14" s="110" customFormat="1" ht="11.25" hidden="1" x14ac:dyDescent="0.2">
      <c r="I61" s="124">
        <v>42450</v>
      </c>
      <c r="J61" s="125">
        <v>0</v>
      </c>
      <c r="K61" s="125">
        <v>0</v>
      </c>
      <c r="L61" s="126">
        <f t="shared" si="39"/>
        <v>0</v>
      </c>
      <c r="N61" s="127"/>
    </row>
    <row r="62" spans="3:14" s="110" customFormat="1" ht="11.25" hidden="1" x14ac:dyDescent="0.2">
      <c r="I62" s="124">
        <v>42480</v>
      </c>
      <c r="J62" s="125">
        <v>0</v>
      </c>
      <c r="K62" s="125">
        <v>0</v>
      </c>
      <c r="L62" s="126">
        <f t="shared" si="39"/>
        <v>0</v>
      </c>
      <c r="N62" s="127"/>
    </row>
    <row r="63" spans="3:14" s="110" customFormat="1" ht="11.25" hidden="1" x14ac:dyDescent="0.2">
      <c r="I63" s="124">
        <v>42510</v>
      </c>
      <c r="J63" s="125">
        <v>0</v>
      </c>
      <c r="K63" s="125">
        <v>0</v>
      </c>
      <c r="L63" s="126">
        <f t="shared" si="39"/>
        <v>0</v>
      </c>
      <c r="N63" s="127"/>
    </row>
    <row r="64" spans="3:14" s="110" customFormat="1" ht="11.25" hidden="1" x14ac:dyDescent="0.2">
      <c r="I64" s="124">
        <v>42541</v>
      </c>
      <c r="J64" s="125">
        <v>0</v>
      </c>
      <c r="K64" s="125">
        <v>0</v>
      </c>
      <c r="L64" s="126">
        <f t="shared" si="39"/>
        <v>0</v>
      </c>
      <c r="N64" s="127"/>
    </row>
    <row r="65" spans="9:14" s="110" customFormat="1" ht="11.25" hidden="1" x14ac:dyDescent="0.2">
      <c r="I65" s="124">
        <v>42571</v>
      </c>
      <c r="J65" s="125">
        <v>0</v>
      </c>
      <c r="K65" s="125">
        <v>0</v>
      </c>
      <c r="L65" s="126">
        <f t="shared" si="39"/>
        <v>0</v>
      </c>
      <c r="N65" s="127"/>
    </row>
    <row r="66" spans="9:14" s="110" customFormat="1" ht="11.25" hidden="1" x14ac:dyDescent="0.2">
      <c r="I66" s="124">
        <v>42604</v>
      </c>
      <c r="J66" s="125">
        <v>0</v>
      </c>
      <c r="K66" s="125">
        <v>0</v>
      </c>
      <c r="L66" s="126">
        <f t="shared" si="39"/>
        <v>0</v>
      </c>
      <c r="N66" s="127"/>
    </row>
    <row r="67" spans="9:14" s="110" customFormat="1" ht="11.25" hidden="1" x14ac:dyDescent="0.2">
      <c r="I67" s="124">
        <v>42633</v>
      </c>
      <c r="J67" s="125">
        <v>0</v>
      </c>
      <c r="K67" s="125">
        <v>0</v>
      </c>
      <c r="L67" s="126">
        <f t="shared" si="39"/>
        <v>0</v>
      </c>
      <c r="N67" s="127"/>
    </row>
    <row r="68" spans="9:14" s="110" customFormat="1" ht="11.25" hidden="1" x14ac:dyDescent="0.2">
      <c r="I68" s="124">
        <v>42663</v>
      </c>
      <c r="J68" s="125">
        <v>0</v>
      </c>
      <c r="K68" s="125">
        <v>0</v>
      </c>
      <c r="L68" s="126">
        <f t="shared" si="39"/>
        <v>0</v>
      </c>
      <c r="N68" s="127"/>
    </row>
    <row r="69" spans="9:14" s="110" customFormat="1" ht="11.25" hidden="1" x14ac:dyDescent="0.2">
      <c r="I69" s="124">
        <v>42695</v>
      </c>
      <c r="J69" s="125">
        <v>0</v>
      </c>
      <c r="K69" s="125">
        <v>0</v>
      </c>
      <c r="L69" s="126">
        <f t="shared" si="39"/>
        <v>0</v>
      </c>
      <c r="N69" s="127"/>
    </row>
    <row r="70" spans="9:14" s="110" customFormat="1" ht="11.25" hidden="1" x14ac:dyDescent="0.2">
      <c r="I70" s="124">
        <v>42724</v>
      </c>
      <c r="J70" s="125">
        <v>0</v>
      </c>
      <c r="K70" s="125">
        <v>0</v>
      </c>
      <c r="L70" s="126">
        <f t="shared" si="39"/>
        <v>0</v>
      </c>
      <c r="N70" s="127"/>
    </row>
    <row r="71" spans="9:14" s="110" customFormat="1" ht="11.25" hidden="1" x14ac:dyDescent="0.2">
      <c r="I71" s="124">
        <v>42755</v>
      </c>
      <c r="J71" s="125">
        <v>0</v>
      </c>
      <c r="K71" s="125">
        <v>0</v>
      </c>
      <c r="L71" s="126"/>
      <c r="N71" s="127"/>
    </row>
    <row r="72" spans="9:14" s="110" customFormat="1" ht="11.25" hidden="1" x14ac:dyDescent="0.2">
      <c r="I72" s="124">
        <v>42786</v>
      </c>
      <c r="J72" s="125">
        <v>0</v>
      </c>
      <c r="K72" s="125">
        <v>0</v>
      </c>
      <c r="L72" s="126"/>
      <c r="N72" s="127"/>
    </row>
    <row r="73" spans="9:14" s="110" customFormat="1" ht="11.25" hidden="1" x14ac:dyDescent="0.2">
      <c r="I73" s="124">
        <v>42814</v>
      </c>
      <c r="J73" s="125">
        <v>0</v>
      </c>
      <c r="K73" s="125">
        <v>0</v>
      </c>
      <c r="L73" s="126">
        <f t="shared" si="39"/>
        <v>0</v>
      </c>
      <c r="N73" s="127"/>
    </row>
    <row r="74" spans="9:14" s="110" customFormat="1" ht="11.25" hidden="1" x14ac:dyDescent="0.2">
      <c r="I74" s="124">
        <v>42845</v>
      </c>
      <c r="J74" s="125">
        <v>0</v>
      </c>
      <c r="K74" s="125">
        <v>0</v>
      </c>
      <c r="L74" s="126">
        <f t="shared" si="39"/>
        <v>0</v>
      </c>
      <c r="N74" s="127"/>
    </row>
    <row r="75" spans="9:14" s="110" customFormat="1" ht="11.25" hidden="1" x14ac:dyDescent="0.2">
      <c r="I75" s="124">
        <v>42877</v>
      </c>
      <c r="J75" s="125">
        <v>0</v>
      </c>
      <c r="K75" s="125">
        <v>0</v>
      </c>
      <c r="L75" s="126">
        <f t="shared" si="39"/>
        <v>0</v>
      </c>
      <c r="N75" s="127"/>
    </row>
    <row r="76" spans="9:14" s="110" customFormat="1" ht="11.25" hidden="1" x14ac:dyDescent="0.2">
      <c r="I76" s="124">
        <v>42906</v>
      </c>
      <c r="J76" s="125">
        <v>0</v>
      </c>
      <c r="K76" s="125">
        <v>0</v>
      </c>
      <c r="L76" s="126">
        <f t="shared" si="39"/>
        <v>0</v>
      </c>
      <c r="N76" s="127"/>
    </row>
    <row r="77" spans="9:14" s="110" customFormat="1" ht="11.25" hidden="1" x14ac:dyDescent="0.2">
      <c r="I77" s="124">
        <v>42936</v>
      </c>
      <c r="J77" s="125">
        <v>0</v>
      </c>
      <c r="K77" s="125">
        <v>0</v>
      </c>
      <c r="L77" s="126">
        <f t="shared" si="39"/>
        <v>0</v>
      </c>
      <c r="N77" s="127"/>
    </row>
    <row r="78" spans="9:14" s="110" customFormat="1" ht="11.25" hidden="1" x14ac:dyDescent="0.2">
      <c r="I78" s="124">
        <v>42968</v>
      </c>
      <c r="J78" s="125">
        <v>0</v>
      </c>
      <c r="K78" s="125">
        <v>0</v>
      </c>
      <c r="L78" s="126">
        <f t="shared" si="39"/>
        <v>0</v>
      </c>
      <c r="N78" s="127"/>
    </row>
    <row r="79" spans="9:14" s="110" customFormat="1" ht="11.25" hidden="1" x14ac:dyDescent="0.2">
      <c r="I79" s="124">
        <v>42998</v>
      </c>
      <c r="J79" s="125">
        <v>0</v>
      </c>
      <c r="K79" s="125">
        <v>0</v>
      </c>
      <c r="L79" s="126">
        <f t="shared" si="39"/>
        <v>0</v>
      </c>
      <c r="N79" s="127"/>
    </row>
    <row r="80" spans="9:14" s="110" customFormat="1" ht="11.25" hidden="1" x14ac:dyDescent="0.2">
      <c r="I80" s="124">
        <v>43028</v>
      </c>
      <c r="J80" s="125">
        <v>2746301</v>
      </c>
      <c r="K80" s="125">
        <v>0</v>
      </c>
      <c r="L80" s="126">
        <f t="shared" si="39"/>
        <v>2746301</v>
      </c>
      <c r="N80" s="127"/>
    </row>
    <row r="81" spans="9:14" s="110" customFormat="1" ht="11.25" hidden="1" x14ac:dyDescent="0.2">
      <c r="I81" s="124">
        <v>43059</v>
      </c>
      <c r="J81" s="125">
        <v>4802333</v>
      </c>
      <c r="K81" s="125">
        <v>0</v>
      </c>
      <c r="L81" s="126">
        <f t="shared" si="39"/>
        <v>4802333</v>
      </c>
      <c r="N81" s="127"/>
    </row>
    <row r="82" spans="9:14" s="110" customFormat="1" ht="11.25" hidden="1" x14ac:dyDescent="0.2">
      <c r="I82" s="124">
        <v>43089</v>
      </c>
      <c r="J82" s="125">
        <v>2451266</v>
      </c>
      <c r="K82" s="125">
        <v>1251913</v>
      </c>
      <c r="L82" s="126">
        <f t="shared" si="39"/>
        <v>3703179</v>
      </c>
      <c r="N82" s="127"/>
    </row>
    <row r="83" spans="9:14" s="110" customFormat="1" ht="11.25" hidden="1" x14ac:dyDescent="0.2">
      <c r="I83" s="124">
        <v>43122</v>
      </c>
      <c r="J83" s="125">
        <v>0</v>
      </c>
      <c r="K83" s="125">
        <v>3485679</v>
      </c>
      <c r="L83" s="126">
        <f t="shared" si="39"/>
        <v>3485679</v>
      </c>
      <c r="N83" s="127"/>
    </row>
    <row r="84" spans="9:14" s="110" customFormat="1" ht="11.25" hidden="1" x14ac:dyDescent="0.2">
      <c r="I84" s="124">
        <v>43151</v>
      </c>
      <c r="J84" s="125">
        <v>0</v>
      </c>
      <c r="K84" s="125">
        <v>2305808</v>
      </c>
      <c r="L84" s="126">
        <f t="shared" si="39"/>
        <v>2305808</v>
      </c>
      <c r="N84" s="127"/>
    </row>
    <row r="85" spans="9:14" s="110" customFormat="1" ht="11.25" hidden="1" x14ac:dyDescent="0.2">
      <c r="I85" s="124">
        <v>43179</v>
      </c>
      <c r="J85" s="125">
        <v>0</v>
      </c>
      <c r="K85" s="125">
        <v>900094</v>
      </c>
      <c r="L85" s="126">
        <f t="shared" si="39"/>
        <v>900094</v>
      </c>
      <c r="N85" s="127"/>
    </row>
    <row r="86" spans="9:14" s="110" customFormat="1" ht="11.25" hidden="1" x14ac:dyDescent="0.2">
      <c r="I86" s="124">
        <v>43210</v>
      </c>
      <c r="J86" s="125">
        <v>0</v>
      </c>
      <c r="K86" s="125">
        <v>556465</v>
      </c>
      <c r="L86" s="126">
        <f t="shared" si="39"/>
        <v>556465</v>
      </c>
      <c r="N86" s="127"/>
    </row>
    <row r="87" spans="9:14" s="110" customFormat="1" ht="11.25" hidden="1" x14ac:dyDescent="0.2">
      <c r="I87" s="124">
        <v>43241</v>
      </c>
      <c r="J87" s="125">
        <v>0</v>
      </c>
      <c r="K87" s="125">
        <v>540422</v>
      </c>
      <c r="L87" s="126">
        <f t="shared" si="39"/>
        <v>540422</v>
      </c>
      <c r="N87" s="127"/>
    </row>
    <row r="88" spans="9:14" s="110" customFormat="1" ht="11.25" hidden="1" x14ac:dyDescent="0.2">
      <c r="I88" s="124">
        <v>43271</v>
      </c>
      <c r="J88" s="125">
        <v>0</v>
      </c>
      <c r="K88" s="125">
        <v>329959</v>
      </c>
      <c r="L88" s="126">
        <f t="shared" si="39"/>
        <v>329959</v>
      </c>
      <c r="N88" s="127"/>
    </row>
    <row r="89" spans="9:14" s="110" customFormat="1" ht="11.25" hidden="1" x14ac:dyDescent="0.2">
      <c r="I89" s="124">
        <v>43301</v>
      </c>
      <c r="J89" s="125">
        <v>0</v>
      </c>
      <c r="K89" s="128">
        <v>481169</v>
      </c>
      <c r="L89" s="126">
        <f t="shared" si="39"/>
        <v>481169</v>
      </c>
      <c r="N89" s="127"/>
    </row>
    <row r="90" spans="9:14" s="110" customFormat="1" ht="11.25" hidden="1" x14ac:dyDescent="0.2">
      <c r="I90" s="124">
        <v>43332</v>
      </c>
      <c r="J90" s="125">
        <v>0</v>
      </c>
      <c r="K90" s="128">
        <v>273589</v>
      </c>
      <c r="L90" s="126">
        <f t="shared" si="39"/>
        <v>273589</v>
      </c>
      <c r="N90" s="127"/>
    </row>
    <row r="91" spans="9:14" s="110" customFormat="1" ht="11.25" hidden="1" x14ac:dyDescent="0.2">
      <c r="I91" s="124">
        <v>43363</v>
      </c>
      <c r="J91" s="125">
        <v>0</v>
      </c>
      <c r="K91" s="128">
        <v>180467</v>
      </c>
      <c r="L91" s="126">
        <f t="shared" si="39"/>
        <v>180467</v>
      </c>
      <c r="N91" s="127"/>
    </row>
    <row r="92" spans="9:14" s="110" customFormat="1" ht="11.25" hidden="1" x14ac:dyDescent="0.2">
      <c r="I92" s="124">
        <v>43395</v>
      </c>
      <c r="J92" s="125">
        <v>0</v>
      </c>
      <c r="K92" s="128">
        <v>184525</v>
      </c>
      <c r="L92" s="126">
        <f t="shared" si="39"/>
        <v>184525</v>
      </c>
      <c r="N92" s="127"/>
    </row>
    <row r="93" spans="9:14" s="110" customFormat="1" ht="11.25" hidden="1" x14ac:dyDescent="0.2">
      <c r="I93" s="124">
        <v>43424</v>
      </c>
      <c r="J93" s="125">
        <v>100</v>
      </c>
      <c r="K93" s="128">
        <v>81018</v>
      </c>
      <c r="L93" s="126">
        <f t="shared" si="39"/>
        <v>81118</v>
      </c>
      <c r="N93" s="127"/>
    </row>
    <row r="94" spans="9:14" s="110" customFormat="1" ht="11.25" hidden="1" x14ac:dyDescent="0.2">
      <c r="I94" s="124"/>
      <c r="J94" s="125"/>
      <c r="K94" s="128"/>
      <c r="L94" s="126"/>
      <c r="N94" s="127"/>
    </row>
    <row r="95" spans="9:14" s="110" customFormat="1" ht="15" hidden="1" customHeight="1" x14ac:dyDescent="0.2">
      <c r="I95" s="124"/>
      <c r="J95" s="125"/>
      <c r="K95" s="128"/>
      <c r="L95" s="126"/>
      <c r="N95" s="127"/>
    </row>
    <row r="96" spans="9:14" s="110" customFormat="1" ht="11.25" hidden="1" x14ac:dyDescent="0.2">
      <c r="I96" s="124"/>
      <c r="J96" s="125"/>
      <c r="K96" s="128"/>
      <c r="L96" s="126"/>
      <c r="N96" s="127"/>
    </row>
    <row r="97" spans="9:14" s="110" customFormat="1" ht="11.25" hidden="1" x14ac:dyDescent="0.2">
      <c r="I97" s="124"/>
      <c r="J97" s="125"/>
      <c r="K97" s="128"/>
      <c r="L97" s="126"/>
      <c r="N97" s="127"/>
    </row>
    <row r="98" spans="9:14" s="110" customFormat="1" ht="11.25" hidden="1" x14ac:dyDescent="0.2">
      <c r="I98" s="124"/>
      <c r="J98" s="125"/>
      <c r="K98" s="128"/>
      <c r="L98" s="126"/>
      <c r="N98" s="127"/>
    </row>
    <row r="99" spans="9:14" s="110" customFormat="1" ht="12" hidden="1" thickBot="1" x14ac:dyDescent="0.25">
      <c r="I99" s="129"/>
      <c r="J99" s="130"/>
      <c r="K99" s="131"/>
      <c r="L99" s="126"/>
      <c r="N99" s="127"/>
    </row>
    <row r="100" spans="9:14" s="110" customFormat="1" ht="12" hidden="1" thickBot="1" x14ac:dyDescent="0.25">
      <c r="I100" s="132" t="s">
        <v>5</v>
      </c>
      <c r="J100" s="133">
        <f>+SUM(J56:J99)</f>
        <v>10000000</v>
      </c>
      <c r="K100" s="133">
        <f>+SUM(K56:K99)</f>
        <v>10571108</v>
      </c>
      <c r="L100" s="133">
        <f>SUM(L56:L99)</f>
        <v>20571108</v>
      </c>
      <c r="N100" s="127"/>
    </row>
    <row r="101" spans="9:14" s="110" customFormat="1" ht="11.25" x14ac:dyDescent="0.2"/>
  </sheetData>
  <sheetProtection algorithmName="SHA-512" hashValue="QPAm99QJHgj5ynetVPYCZik6/+tSCnfo0a7pPkblTwY6F+vbxysxAti2kYkrzf0EdU4Y+FO0PwfkW3RV8UdtzA==" saltValue="jbcKIS7Zz/uKps34pXGaYw==" spinCount="100000" sheet="1" objects="1" scenarios="1" selectLockedCells="1"/>
  <dataConsolidate/>
  <mergeCells count="8">
    <mergeCell ref="B31:F40"/>
    <mergeCell ref="C52:L52"/>
    <mergeCell ref="B2:M2"/>
    <mergeCell ref="B3:M3"/>
    <mergeCell ref="C6:D6"/>
    <mergeCell ref="F6:G6"/>
    <mergeCell ref="I6:L6"/>
    <mergeCell ref="B25:F29"/>
  </mergeCells>
  <dataValidations count="1">
    <dataValidation type="decimal" operator="greaterThanOrEqual" allowBlank="1" showInputMessage="1" showErrorMessage="1" errorTitle="Precio Mínimo del CP" error="El precio ingresado es menor al mínimo." sqref="G10">
      <formula1>G55</formula1>
    </dataValidation>
  </dataValidations>
  <printOptions horizontalCentered="1"/>
  <pageMargins left="0.78740157480314965" right="0.78740157480314965" top="0.98425196850393704" bottom="0.98425196850393704" header="0.39370078740157483" footer="0.39370078740157483"/>
  <pageSetup paperSize="9" scale="74" orientation="landscape" r:id="rId1"/>
  <headerFooter alignWithMargins="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VDF TV</vt:lpstr>
      <vt:lpstr>CP</vt:lpstr>
      <vt:lpstr>CP!Área_de_impresión</vt:lpstr>
      <vt:lpstr>'VDF TV'!Área_de_impresión</vt:lpstr>
    </vt:vector>
  </TitlesOfParts>
  <Company>Banco BANEX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A. Donzelli</dc:creator>
  <cp:lastModifiedBy>Donzelli Maximiliano Andres</cp:lastModifiedBy>
  <cp:lastPrinted>2013-03-08T14:39:09Z</cp:lastPrinted>
  <dcterms:created xsi:type="dcterms:W3CDTF">2009-01-13T20:45:21Z</dcterms:created>
  <dcterms:modified xsi:type="dcterms:W3CDTF">2015-09-07T19:59:41Z</dcterms:modified>
</cp:coreProperties>
</file>