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15" windowWidth="11580" windowHeight="6540"/>
  </bookViews>
  <sheets>
    <sheet name="VDF TVA" sheetId="4" r:id="rId1"/>
    <sheet name="VDF TVB" sheetId="6" r:id="rId2"/>
    <sheet name="CP" sheetId="5" r:id="rId3"/>
  </sheets>
  <definedNames>
    <definedName name="_xlnm.Print_Area" localSheetId="2">CP!$A$1:$N$32</definedName>
    <definedName name="_xlnm.Print_Area" localSheetId="0">'VDF TVA'!$A$1:$U$35</definedName>
    <definedName name="_xlnm.Print_Area" localSheetId="1">'VDF TVB'!$A$1:$U$35</definedName>
  </definedNames>
  <calcPr calcId="125725"/>
</workbook>
</file>

<file path=xl/calcChain.xml><?xml version="1.0" encoding="utf-8"?>
<calcChain xmlns="http://schemas.openxmlformats.org/spreadsheetml/2006/main">
  <c r="G13" i="4"/>
  <c r="G15"/>
  <c r="K51" i="6" l="1"/>
  <c r="K50"/>
  <c r="G12" i="5"/>
  <c r="J56"/>
  <c r="L51"/>
  <c r="L50"/>
  <c r="L49"/>
  <c r="G19" i="4" l="1"/>
  <c r="J23" i="6"/>
  <c r="M23"/>
  <c r="J24"/>
  <c r="M24"/>
  <c r="K24"/>
  <c r="L37"/>
  <c r="O49" s="1"/>
  <c r="N22" s="1"/>
  <c r="J37"/>
  <c r="K23" s="1"/>
  <c r="M22"/>
  <c r="K22"/>
  <c r="J22"/>
  <c r="M21"/>
  <c r="K21"/>
  <c r="J21"/>
  <c r="M20"/>
  <c r="K20"/>
  <c r="J20"/>
  <c r="M19"/>
  <c r="K19"/>
  <c r="J19"/>
  <c r="G19"/>
  <c r="M18"/>
  <c r="K18"/>
  <c r="J18"/>
  <c r="M17"/>
  <c r="K17"/>
  <c r="J17"/>
  <c r="M16"/>
  <c r="K16"/>
  <c r="J16"/>
  <c r="M15"/>
  <c r="K15"/>
  <c r="J15"/>
  <c r="M14"/>
  <c r="K14"/>
  <c r="J14"/>
  <c r="M13"/>
  <c r="K13"/>
  <c r="J13"/>
  <c r="M12"/>
  <c r="K12"/>
  <c r="J12"/>
  <c r="M11"/>
  <c r="N38" s="1"/>
  <c r="J11"/>
  <c r="S10"/>
  <c r="P10"/>
  <c r="J10"/>
  <c r="I9"/>
  <c r="O51" l="1"/>
  <c r="N24" s="1"/>
  <c r="Q24" s="1"/>
  <c r="O50"/>
  <c r="Q22"/>
  <c r="S38"/>
  <c r="Q38"/>
  <c r="O11" s="1"/>
  <c r="K53"/>
  <c r="K11"/>
  <c r="L38"/>
  <c r="L39" s="1"/>
  <c r="L40" s="1"/>
  <c r="L41" s="1"/>
  <c r="L42" s="1"/>
  <c r="L43" s="1"/>
  <c r="L44" s="1"/>
  <c r="L45" s="1"/>
  <c r="L46" s="1"/>
  <c r="L47" s="1"/>
  <c r="L48" s="1"/>
  <c r="L49" s="1"/>
  <c r="N50" s="1"/>
  <c r="Q50" s="1"/>
  <c r="O38"/>
  <c r="O39"/>
  <c r="N12" s="1"/>
  <c r="Q12" s="1"/>
  <c r="O40"/>
  <c r="N13" s="1"/>
  <c r="Q13" s="1"/>
  <c r="O41"/>
  <c r="N14" s="1"/>
  <c r="Q14" s="1"/>
  <c r="O42"/>
  <c r="N15" s="1"/>
  <c r="Q15" s="1"/>
  <c r="O43"/>
  <c r="N16" s="1"/>
  <c r="Q16" s="1"/>
  <c r="O44"/>
  <c r="N17" s="1"/>
  <c r="Q17" s="1"/>
  <c r="O45"/>
  <c r="N18" s="1"/>
  <c r="Q18" s="1"/>
  <c r="O46"/>
  <c r="N19" s="1"/>
  <c r="Q19" s="1"/>
  <c r="O47"/>
  <c r="N20" s="1"/>
  <c r="Q20" s="1"/>
  <c r="O48"/>
  <c r="N21" s="1"/>
  <c r="Q21" s="1"/>
  <c r="I10" i="5"/>
  <c r="I11"/>
  <c r="I12"/>
  <c r="I13"/>
  <c r="I14"/>
  <c r="I15"/>
  <c r="I16"/>
  <c r="I17"/>
  <c r="I18"/>
  <c r="I19"/>
  <c r="I20"/>
  <c r="I21"/>
  <c r="I22"/>
  <c r="I23"/>
  <c r="I24"/>
  <c r="I25"/>
  <c r="I26"/>
  <c r="G16"/>
  <c r="N23" i="6" l="1"/>
  <c r="Q23" s="1"/>
  <c r="S50"/>
  <c r="O23"/>
  <c r="P23"/>
  <c r="R23"/>
  <c r="L50"/>
  <c r="N51" s="1"/>
  <c r="O53"/>
  <c r="P38"/>
  <c r="N11"/>
  <c r="N25" s="1"/>
  <c r="R11"/>
  <c r="N49"/>
  <c r="S49" s="1"/>
  <c r="N48"/>
  <c r="N47"/>
  <c r="N46"/>
  <c r="N45"/>
  <c r="N44"/>
  <c r="N43"/>
  <c r="N42"/>
  <c r="N41"/>
  <c r="N40"/>
  <c r="N39"/>
  <c r="L36" i="5"/>
  <c r="L37"/>
  <c r="L38"/>
  <c r="L39"/>
  <c r="L40"/>
  <c r="L41"/>
  <c r="L42"/>
  <c r="L43"/>
  <c r="L44"/>
  <c r="L45"/>
  <c r="L46"/>
  <c r="L47"/>
  <c r="L48"/>
  <c r="J10" i="4"/>
  <c r="S23" i="6" l="1"/>
  <c r="S51"/>
  <c r="Q51"/>
  <c r="O24" s="1"/>
  <c r="L51"/>
  <c r="S39"/>
  <c r="Q39"/>
  <c r="O12" s="1"/>
  <c r="N53"/>
  <c r="N55" s="1"/>
  <c r="S40"/>
  <c r="Q40"/>
  <c r="O13" s="1"/>
  <c r="S41"/>
  <c r="Q41"/>
  <c r="O14" s="1"/>
  <c r="S42"/>
  <c r="Q42"/>
  <c r="O15" s="1"/>
  <c r="S43"/>
  <c r="Q43"/>
  <c r="O16" s="1"/>
  <c r="S44"/>
  <c r="Q44"/>
  <c r="O17" s="1"/>
  <c r="S45"/>
  <c r="Q45"/>
  <c r="O18" s="1"/>
  <c r="S46"/>
  <c r="Q46"/>
  <c r="O19" s="1"/>
  <c r="S47"/>
  <c r="Q47"/>
  <c r="O20" s="1"/>
  <c r="S48"/>
  <c r="Q48"/>
  <c r="O21" s="1"/>
  <c r="Q49"/>
  <c r="O22" s="1"/>
  <c r="Q11"/>
  <c r="Q25" s="1"/>
  <c r="P11"/>
  <c r="P39"/>
  <c r="L11"/>
  <c r="I9" i="5"/>
  <c r="L9"/>
  <c r="L34"/>
  <c r="K56"/>
  <c r="H8"/>
  <c r="B2"/>
  <c r="L35"/>
  <c r="L56" s="1"/>
  <c r="I34"/>
  <c r="J26" l="1"/>
  <c r="J25"/>
  <c r="J24"/>
  <c r="J10"/>
  <c r="P24" i="6"/>
  <c r="R24"/>
  <c r="S24" s="1"/>
  <c r="O25"/>
  <c r="P40"/>
  <c r="P41" s="1"/>
  <c r="P42" s="1"/>
  <c r="P43" s="1"/>
  <c r="P44" s="1"/>
  <c r="P45" s="1"/>
  <c r="P46" s="1"/>
  <c r="P47" s="1"/>
  <c r="P48" s="1"/>
  <c r="P49" s="1"/>
  <c r="P50" s="1"/>
  <c r="L12"/>
  <c r="S11"/>
  <c r="R22"/>
  <c r="S22" s="1"/>
  <c r="P22"/>
  <c r="R21"/>
  <c r="S21" s="1"/>
  <c r="P21"/>
  <c r="R20"/>
  <c r="S20" s="1"/>
  <c r="P20"/>
  <c r="R19"/>
  <c r="S19" s="1"/>
  <c r="P19"/>
  <c r="R18"/>
  <c r="S18" s="1"/>
  <c r="P18"/>
  <c r="R17"/>
  <c r="S17" s="1"/>
  <c r="P17"/>
  <c r="R16"/>
  <c r="S16" s="1"/>
  <c r="P16"/>
  <c r="R15"/>
  <c r="S15" s="1"/>
  <c r="P15"/>
  <c r="R14"/>
  <c r="S14" s="1"/>
  <c r="P14"/>
  <c r="R13"/>
  <c r="S13" s="1"/>
  <c r="P13"/>
  <c r="R12"/>
  <c r="R25" s="1"/>
  <c r="P12"/>
  <c r="N56"/>
  <c r="J11" i="5"/>
  <c r="K10"/>
  <c r="K26"/>
  <c r="K25"/>
  <c r="K24"/>
  <c r="K23"/>
  <c r="J23"/>
  <c r="L23" s="1"/>
  <c r="K22"/>
  <c r="J22"/>
  <c r="L22" s="1"/>
  <c r="K21"/>
  <c r="J21"/>
  <c r="L21" s="1"/>
  <c r="K20"/>
  <c r="J20"/>
  <c r="L20" s="1"/>
  <c r="K19"/>
  <c r="J19"/>
  <c r="L19" s="1"/>
  <c r="K18"/>
  <c r="J18"/>
  <c r="L18" s="1"/>
  <c r="K17"/>
  <c r="J17"/>
  <c r="L17" s="1"/>
  <c r="K16"/>
  <c r="J16"/>
  <c r="L16" s="1"/>
  <c r="K15"/>
  <c r="J15"/>
  <c r="L15" s="1"/>
  <c r="K14"/>
  <c r="J14"/>
  <c r="L14" s="1"/>
  <c r="K13"/>
  <c r="J13"/>
  <c r="L13" s="1"/>
  <c r="K12"/>
  <c r="J12"/>
  <c r="L12" s="1"/>
  <c r="K11"/>
  <c r="L11" s="1"/>
  <c r="L10"/>
  <c r="K27" l="1"/>
  <c r="J27"/>
  <c r="L26"/>
  <c r="L24"/>
  <c r="L25"/>
  <c r="P51" i="6"/>
  <c r="L24" s="1"/>
  <c r="L23"/>
  <c r="S12"/>
  <c r="L13"/>
  <c r="G13" l="1"/>
  <c r="G15" s="1"/>
  <c r="L27" i="5"/>
  <c r="S25" i="6"/>
  <c r="L14"/>
  <c r="G14" i="5"/>
  <c r="S10" i="4"/>
  <c r="J12"/>
  <c r="M12"/>
  <c r="J13"/>
  <c r="M13"/>
  <c r="J14"/>
  <c r="M14"/>
  <c r="J15"/>
  <c r="M15"/>
  <c r="J16"/>
  <c r="M16"/>
  <c r="J17"/>
  <c r="M17"/>
  <c r="J18"/>
  <c r="M18"/>
  <c r="J19"/>
  <c r="M19"/>
  <c r="J20"/>
  <c r="M20"/>
  <c r="J21"/>
  <c r="M21"/>
  <c r="J22"/>
  <c r="M22"/>
  <c r="J11"/>
  <c r="M11"/>
  <c r="L15" i="6" l="1"/>
  <c r="K39" i="4"/>
  <c r="K12" s="1"/>
  <c r="K40"/>
  <c r="K13" s="1"/>
  <c r="K41"/>
  <c r="K14" s="1"/>
  <c r="K42"/>
  <c r="K15" s="1"/>
  <c r="K43"/>
  <c r="K16" s="1"/>
  <c r="K44"/>
  <c r="K17" s="1"/>
  <c r="K45"/>
  <c r="K18" s="1"/>
  <c r="K46"/>
  <c r="K19" s="1"/>
  <c r="K47"/>
  <c r="K20" s="1"/>
  <c r="K48"/>
  <c r="K21" s="1"/>
  <c r="K49"/>
  <c r="K22" s="1"/>
  <c r="L16" i="6" l="1"/>
  <c r="J37" i="4"/>
  <c r="K38" s="1"/>
  <c r="L37"/>
  <c r="L38" s="1"/>
  <c r="N39"/>
  <c r="S39" s="1"/>
  <c r="P10"/>
  <c r="I9"/>
  <c r="K51" l="1"/>
  <c r="K11"/>
  <c r="Q39"/>
  <c r="O12" s="1"/>
  <c r="L17" i="6"/>
  <c r="O38" i="4"/>
  <c r="O39"/>
  <c r="N12" s="1"/>
  <c r="O40"/>
  <c r="N13" s="1"/>
  <c r="O41"/>
  <c r="N14" s="1"/>
  <c r="O42"/>
  <c r="N15" s="1"/>
  <c r="O43"/>
  <c r="N16" s="1"/>
  <c r="O44"/>
  <c r="N17" s="1"/>
  <c r="O45"/>
  <c r="N18" s="1"/>
  <c r="O46"/>
  <c r="N19" s="1"/>
  <c r="O47"/>
  <c r="N20" s="1"/>
  <c r="O48"/>
  <c r="N21" s="1"/>
  <c r="O49"/>
  <c r="N22" s="1"/>
  <c r="N38"/>
  <c r="L39"/>
  <c r="N40" s="1"/>
  <c r="R12" l="1"/>
  <c r="P12"/>
  <c r="Q40"/>
  <c r="O13" s="1"/>
  <c r="R13" s="1"/>
  <c r="Q38"/>
  <c r="O11" s="1"/>
  <c r="L18" i="6"/>
  <c r="N11" i="4"/>
  <c r="Q11" s="1"/>
  <c r="P38"/>
  <c r="Q22"/>
  <c r="Q21"/>
  <c r="Q20"/>
  <c r="Q19"/>
  <c r="Q18"/>
  <c r="Q17"/>
  <c r="Q16"/>
  <c r="Q15"/>
  <c r="Q14"/>
  <c r="Q13"/>
  <c r="Q12"/>
  <c r="N23"/>
  <c r="S12"/>
  <c r="L40"/>
  <c r="N41" s="1"/>
  <c r="S40"/>
  <c r="O51"/>
  <c r="S38"/>
  <c r="R11" l="1"/>
  <c r="P11"/>
  <c r="Q41"/>
  <c r="O14" s="1"/>
  <c r="R14" s="1"/>
  <c r="Q23"/>
  <c r="L19" i="6"/>
  <c r="L11" i="4"/>
  <c r="P39"/>
  <c r="P40" s="1"/>
  <c r="P41" s="1"/>
  <c r="P42" s="1"/>
  <c r="P43" s="1"/>
  <c r="P44" s="1"/>
  <c r="P45" s="1"/>
  <c r="P46" s="1"/>
  <c r="P47" s="1"/>
  <c r="P48" s="1"/>
  <c r="P49" s="1"/>
  <c r="L12"/>
  <c r="L41"/>
  <c r="N42" s="1"/>
  <c r="S41"/>
  <c r="Q42" l="1"/>
  <c r="O15" s="1"/>
  <c r="R15" s="1"/>
  <c r="S11"/>
  <c r="L20" i="6"/>
  <c r="L13" i="4"/>
  <c r="P13"/>
  <c r="L42"/>
  <c r="N43" s="1"/>
  <c r="S42"/>
  <c r="Q43" l="1"/>
  <c r="O16" s="1"/>
  <c r="R16" s="1"/>
  <c r="L22" i="6"/>
  <c r="L21"/>
  <c r="L14" i="4"/>
  <c r="S13"/>
  <c r="S14"/>
  <c r="P14"/>
  <c r="L43"/>
  <c r="N44" s="1"/>
  <c r="S43"/>
  <c r="Q44" l="1"/>
  <c r="O17" s="1"/>
  <c r="R17" s="1"/>
  <c r="L15"/>
  <c r="S15"/>
  <c r="P15"/>
  <c r="L44"/>
  <c r="N45" s="1"/>
  <c r="S44"/>
  <c r="Q45" l="1"/>
  <c r="O18" s="1"/>
  <c r="R18" s="1"/>
  <c r="L16"/>
  <c r="P16"/>
  <c r="L45"/>
  <c r="N46" s="1"/>
  <c r="S45"/>
  <c r="Q46" l="1"/>
  <c r="O19" s="1"/>
  <c r="R19" s="1"/>
  <c r="L17"/>
  <c r="S16"/>
  <c r="S17"/>
  <c r="P17"/>
  <c r="L46"/>
  <c r="N47" s="1"/>
  <c r="S46"/>
  <c r="Q47" l="1"/>
  <c r="O20" s="1"/>
  <c r="R20" s="1"/>
  <c r="L18"/>
  <c r="S18"/>
  <c r="P18"/>
  <c r="L47"/>
  <c r="N48" s="1"/>
  <c r="S47"/>
  <c r="Q48" l="1"/>
  <c r="O21" s="1"/>
  <c r="R21" s="1"/>
  <c r="L19"/>
  <c r="S19"/>
  <c r="P19"/>
  <c r="L48"/>
  <c r="N49" s="1"/>
  <c r="S48"/>
  <c r="Q49" l="1"/>
  <c r="O22" s="1"/>
  <c r="R22" s="1"/>
  <c r="L20"/>
  <c r="S20"/>
  <c r="P20"/>
  <c r="L49"/>
  <c r="S49"/>
  <c r="S22" l="1"/>
  <c r="R23"/>
  <c r="L21"/>
  <c r="S21"/>
  <c r="P21"/>
  <c r="S23" l="1"/>
  <c r="L22"/>
  <c r="P22"/>
  <c r="N51" l="1"/>
  <c r="N53" s="1"/>
  <c r="O23" l="1"/>
  <c r="N54" s="1"/>
</calcChain>
</file>

<file path=xl/sharedStrings.xml><?xml version="1.0" encoding="utf-8"?>
<sst xmlns="http://schemas.openxmlformats.org/spreadsheetml/2006/main" count="149" uniqueCount="69">
  <si>
    <t>Calculador</t>
  </si>
  <si>
    <t>Capital</t>
  </si>
  <si>
    <t>Fecha de Pago</t>
  </si>
  <si>
    <t>Intereses</t>
  </si>
  <si>
    <t>Amortización</t>
  </si>
  <si>
    <t>TOTAL</t>
  </si>
  <si>
    <t>% sobre Emision Total</t>
  </si>
  <si>
    <t>TIR</t>
  </si>
  <si>
    <t>TNA</t>
  </si>
  <si>
    <t>Tasa mínima</t>
  </si>
  <si>
    <t>Tasa máxima</t>
  </si>
  <si>
    <t>Precio</t>
  </si>
  <si>
    <t>Fecha liquidación</t>
  </si>
  <si>
    <t xml:space="preserve">Duration </t>
  </si>
  <si>
    <t>Plazo</t>
  </si>
  <si>
    <t>Calificación de Riesgo</t>
  </si>
  <si>
    <t>Badlar BP + Margen</t>
  </si>
  <si>
    <t>* Licita  Margen Diferencial sobre BADLAR Bancos Privados</t>
  </si>
  <si>
    <t>Cantidad VN a Suscribir</t>
  </si>
  <si>
    <t>Monto a Suscribir $ VR</t>
  </si>
  <si>
    <t>Margen Dif de Referencia</t>
  </si>
  <si>
    <t>Margen a licitar</t>
  </si>
  <si>
    <t>Cupón Variable</t>
  </si>
  <si>
    <t>Badlar BP (estimada)</t>
  </si>
  <si>
    <t>La presente planilla de calculo (la "Planilla de Cálculo") ha sido puesta a disposición del destinatario del presente, en su carácter de interesado y eventual inversor (el "Interesado") solamente a modo ilustrativo y ejemplificativo. El Interesado deberá, a los efectos de la suscripción de los Valores Fiduciarios, basarse en sus propios cálculos y evaluación de los Términos y Condiciones de los Valores Fiduciarios descriptos en el Suplemento de Prospecto que ha tenido a su disposición, a fin de determinar el eventual rendimiento que podrían tener los Valores Fiduciarios. El Interesado deberá analizar cuidadosamente dicha información, junto con el Suplemento de Prospecto, y en particular las consideraciones de riesgo para la inversión. Se aclara que el uso de la Planilla de Calculo no es obligatorio para el Interesado, sino meramente orientativo, y que los resultados que ésta arroje no serán vinculantes; por tal motivo Banco Supervielle S.A. no asumirá responsabilidad alguna con motivo de cualquier error cometido en la realización de los cálculos respectivos ni por la variación del rendimiento de los Valores Fiduciarios en su interpretación por parte del Interesado, ni por cualquier otro  motivo.</t>
  </si>
  <si>
    <t>Cash Flow</t>
  </si>
  <si>
    <t>Días</t>
  </si>
  <si>
    <t>Valor Residual</t>
  </si>
  <si>
    <t>Cupón</t>
  </si>
  <si>
    <t>Capital residual</t>
  </si>
  <si>
    <t>Amortización %</t>
  </si>
  <si>
    <t>Intereses %</t>
  </si>
  <si>
    <t>Flujo %</t>
  </si>
  <si>
    <t>celdas para modificar</t>
  </si>
  <si>
    <t>Cuadro Teórico de Pagos</t>
  </si>
  <si>
    <t>Cifras expresadas en Pesos Argentinos</t>
  </si>
  <si>
    <t>Cupón Fijo</t>
  </si>
  <si>
    <t>Badlar BP</t>
  </si>
  <si>
    <t>-</t>
  </si>
  <si>
    <t>Spread</t>
  </si>
  <si>
    <t xml:space="preserve">Monto a Suscribir $ </t>
  </si>
  <si>
    <t>CERTIFICADO DE PARTICIPACIÓN</t>
  </si>
  <si>
    <t>Detalle de los CP</t>
  </si>
  <si>
    <t>Rendimiento</t>
  </si>
  <si>
    <t>* Licita por Precio</t>
  </si>
  <si>
    <t>Precio Min. CP</t>
  </si>
  <si>
    <t>TIR CP</t>
  </si>
  <si>
    <t>Flujo</t>
  </si>
  <si>
    <t>Respecto del calculador, se deberá considerar que la modificación al margen diferencial, la tasa Badlar, la incobrabilidad y/o las precancelaciones puede implicar una variación del inicio de la amortización, del monto amortizado o el rendimiento.</t>
  </si>
  <si>
    <t>* Precio Mínimo 100%</t>
  </si>
  <si>
    <t xml:space="preserve"> VALORES DE DEUDA FIDUCIARIA TASA VARIABLE A (VDF TVA)</t>
  </si>
  <si>
    <t>Detalle de los VDF TVA</t>
  </si>
  <si>
    <t>ra.A-1+</t>
  </si>
  <si>
    <t>Detalle de los VDF TVB</t>
  </si>
  <si>
    <t>ra.CCC</t>
  </si>
  <si>
    <t>ra.CC</t>
  </si>
  <si>
    <t>* El CP recibirá pagos una vez cancelado el VDF TVA y TVB</t>
  </si>
  <si>
    <t>Respecto del calculador, se deberá considerar que la modificación al Margen Diferencial, puede implicar una variación del disponible para amortizar capital del VDF  TVA</t>
  </si>
  <si>
    <t>Respecto del calculador, se deberá considerar que la modificación al Margen Diferencial, puede implicar una variación del disponible para amortizar capital del VDF  TVB</t>
  </si>
  <si>
    <t xml:space="preserve"> VALORES DE DEUDA FIDUCIARIA TASA VARIABLE B (VDF TVB)</t>
  </si>
  <si>
    <t>* La tasa a devengar por los títulos tiene un mínimo de 20% y un máximo de 32%</t>
  </si>
  <si>
    <t>* Los intereses son calculados sobre una base de tasa BADLAR Bancos Privados del 21,00%</t>
  </si>
  <si>
    <t>* La tasa a devengar por los títulos tiene un mínimo de 21% y un máximo de 34%</t>
  </si>
  <si>
    <t>FIDEICOMISO FINANCIERO CREDIMAS SERIE 25</t>
  </si>
  <si>
    <t>346 días</t>
  </si>
  <si>
    <t>* Para el primer pago, los intereses se devengan desde la Fecha de Liquidación (09/11/2015) hasta el día inmediatamente anterior a la Primera Fecha de Pago de Servicios (20/11/2015). Para el resto de los pagos, los intereses se devengan desde la fecha de pago hasta el día inmediatamente anterior del próximo pago.</t>
  </si>
  <si>
    <t>407 días</t>
  </si>
  <si>
    <t>* Para el primer pago, los intereses se devengan desde la Fecha de Liquidación (09/11/2015) hasta el día inmediatamente anterior a la Primera Fecha de Pago de Servicios (21/11/2016). Para el resto de los pagos, los intereses se devengan desde la fecha de pago hasta el día inmediatamente anterior del próximo pago.</t>
  </si>
  <si>
    <t>497 días</t>
  </si>
</sst>
</file>

<file path=xl/styles.xml><?xml version="1.0" encoding="utf-8"?>
<styleSheet xmlns="http://schemas.openxmlformats.org/spreadsheetml/2006/main">
  <numFmts count="13">
    <numFmt numFmtId="41" formatCode="_ * #,##0_ ;_ * \-#,##0_ ;_ * &quot;-&quot;_ ;_ @_ "/>
    <numFmt numFmtId="44" formatCode="_ &quot;$&quot;\ * #,##0.00_ ;_ &quot;$&quot;\ * \-#,##0.00_ ;_ &quot;$&quot;\ * &quot;-&quot;??_ ;_ @_ "/>
    <numFmt numFmtId="43" formatCode="_ * #,##0.00_ ;_ * \-#,##0.00_ ;_ * &quot;-&quot;??_ ;_ @_ "/>
    <numFmt numFmtId="164" formatCode="_(* #,##0_);_(* \(#,##0\);_(* &quot;-&quot;_);_(@_)"/>
    <numFmt numFmtId="165" formatCode="_ * #,##0_ ;_ * \-#,##0_ ;_ * &quot;-&quot;??_ ;_ @_ "/>
    <numFmt numFmtId="166" formatCode="0.000%"/>
    <numFmt numFmtId="167" formatCode="0.0000%"/>
    <numFmt numFmtId="168" formatCode="dd\-mm\-yy;@"/>
    <numFmt numFmtId="169" formatCode="_ &quot;$&quot;\ * #,##0_ ;_ &quot;$&quot;\ * \-#,##0_ ;_ &quot;$&quot;\ * &quot;-&quot;??_ ;_ @_ "/>
    <numFmt numFmtId="170" formatCode="_ * #,##0.0000_ ;_ * \-#,##0.0000_ ;_ * &quot;-&quot;??_ ;_ @_ "/>
    <numFmt numFmtId="171" formatCode="0.00\ &quot;meses&quot;"/>
    <numFmt numFmtId="172" formatCode="0.0000"/>
    <numFmt numFmtId="173" formatCode="dd\-mmm\-yyyy"/>
  </numFmts>
  <fonts count="21">
    <font>
      <sz val="10"/>
      <name val="Arial"/>
    </font>
    <font>
      <sz val="10"/>
      <name val="Arial"/>
      <family val="2"/>
    </font>
    <font>
      <sz val="9"/>
      <name val="Arial"/>
      <family val="2"/>
    </font>
    <font>
      <sz val="8"/>
      <name val="Arial"/>
      <family val="2"/>
    </font>
    <font>
      <sz val="8"/>
      <name val="Century Gothic"/>
      <family val="2"/>
    </font>
    <font>
      <b/>
      <sz val="10"/>
      <color theme="0"/>
      <name val="Century Gothic"/>
      <family val="2"/>
    </font>
    <font>
      <sz val="9"/>
      <name val="Century Gothic"/>
      <family val="2"/>
    </font>
    <font>
      <b/>
      <sz val="9"/>
      <name val="Century Gothic"/>
      <family val="2"/>
    </font>
    <font>
      <b/>
      <sz val="16"/>
      <name val="Century Gothic"/>
      <family val="2"/>
    </font>
    <font>
      <i/>
      <sz val="7"/>
      <name val="Century Gothic"/>
      <family val="2"/>
    </font>
    <font>
      <b/>
      <sz val="14"/>
      <name val="Century Gothic"/>
      <family val="2"/>
    </font>
    <font>
      <sz val="10"/>
      <name val="Century Gothic"/>
      <family val="2"/>
    </font>
    <font>
      <i/>
      <sz val="8"/>
      <name val="Century Gothic"/>
      <family val="2"/>
    </font>
    <font>
      <b/>
      <sz val="10"/>
      <name val="Century Gothic"/>
      <family val="2"/>
    </font>
    <font>
      <b/>
      <sz val="8"/>
      <name val="Century Gothic"/>
      <family val="2"/>
    </font>
    <font>
      <i/>
      <sz val="10"/>
      <name val="Century Gothic"/>
      <family val="2"/>
    </font>
    <font>
      <b/>
      <sz val="11"/>
      <name val="Century Gothic"/>
      <family val="2"/>
    </font>
    <font>
      <b/>
      <sz val="14"/>
      <color theme="0"/>
      <name val="Century Gothic"/>
      <family val="2"/>
    </font>
    <font>
      <sz val="9"/>
      <color theme="0" tint="-0.249977111117893"/>
      <name val="Century Gothic"/>
      <family val="2"/>
    </font>
    <font>
      <b/>
      <sz val="8"/>
      <color theme="0"/>
      <name val="Century Gothic"/>
      <family val="2"/>
    </font>
    <font>
      <sz val="10"/>
      <color theme="0"/>
      <name val="Century Gothic"/>
      <family val="2"/>
    </font>
  </fonts>
  <fills count="7">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s>
  <borders count="36">
    <border>
      <left/>
      <right/>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175">
    <xf numFmtId="0" fontId="0" fillId="0" borderId="0" xfId="0"/>
    <xf numFmtId="0" fontId="12" fillId="2" borderId="1" xfId="0" applyFont="1" applyFill="1" applyBorder="1" applyAlignment="1">
      <alignment vertical="center"/>
    </xf>
    <xf numFmtId="0" fontId="9" fillId="2" borderId="1" xfId="0" applyFont="1" applyFill="1" applyBorder="1" applyAlignment="1">
      <alignment vertical="center"/>
    </xf>
    <xf numFmtId="3" fontId="14" fillId="2" borderId="0" xfId="0" applyNumberFormat="1" applyFont="1" applyFill="1" applyBorder="1" applyAlignment="1">
      <alignment horizontal="center" vertical="center"/>
    </xf>
    <xf numFmtId="0" fontId="6" fillId="5" borderId="0" xfId="0" applyFont="1" applyFill="1" applyAlignment="1">
      <alignment horizontal="center" vertical="center"/>
    </xf>
    <xf numFmtId="0" fontId="7" fillId="5" borderId="0" xfId="0" applyFont="1" applyFill="1" applyAlignment="1">
      <alignment horizontal="center" vertical="center"/>
    </xf>
    <xf numFmtId="0" fontId="6" fillId="5" borderId="0" xfId="0" applyFont="1" applyFill="1" applyAlignment="1">
      <alignment horizontal="left" vertical="center"/>
    </xf>
    <xf numFmtId="0" fontId="9" fillId="5" borderId="0" xfId="0" applyFont="1" applyFill="1" applyBorder="1" applyAlignment="1">
      <alignment horizontal="center" vertical="center"/>
    </xf>
    <xf numFmtId="167" fontId="6" fillId="2" borderId="0" xfId="4" applyNumberFormat="1" applyFont="1" applyFill="1" applyAlignment="1">
      <alignment horizontal="center" vertical="center"/>
    </xf>
    <xf numFmtId="0" fontId="5" fillId="4" borderId="2" xfId="0" applyFont="1" applyFill="1" applyBorder="1" applyAlignment="1">
      <alignment horizontal="left" vertical="center"/>
    </xf>
    <xf numFmtId="0" fontId="5" fillId="4" borderId="4" xfId="0" applyFont="1" applyFill="1" applyBorder="1" applyAlignment="1">
      <alignment horizontal="left" vertical="center"/>
    </xf>
    <xf numFmtId="167" fontId="18" fillId="2" borderId="0" xfId="4" applyNumberFormat="1" applyFont="1" applyFill="1" applyAlignment="1">
      <alignment horizontal="center" vertical="center"/>
    </xf>
    <xf numFmtId="0" fontId="11" fillId="5" borderId="0" xfId="0" applyFont="1" applyFill="1" applyBorder="1" applyAlignment="1">
      <alignment horizontal="left" vertical="center"/>
    </xf>
    <xf numFmtId="0" fontId="6" fillId="5" borderId="0" xfId="0" applyFont="1" applyFill="1" applyBorder="1" applyAlignment="1">
      <alignment vertical="center"/>
    </xf>
    <xf numFmtId="164" fontId="6" fillId="5" borderId="0" xfId="3" applyNumberFormat="1" applyFont="1" applyFill="1" applyBorder="1" applyAlignment="1">
      <alignment vertical="center"/>
    </xf>
    <xf numFmtId="166" fontId="6" fillId="5" borderId="0" xfId="4" applyNumberFormat="1" applyFont="1" applyFill="1" applyBorder="1" applyAlignment="1">
      <alignment horizontal="center" vertical="center"/>
    </xf>
    <xf numFmtId="0" fontId="11" fillId="5" borderId="0" xfId="0" applyFont="1" applyFill="1" applyAlignment="1">
      <alignment vertical="center"/>
    </xf>
    <xf numFmtId="0" fontId="11" fillId="5" borderId="0" xfId="0" applyFont="1" applyFill="1" applyBorder="1" applyAlignment="1">
      <alignment vertical="center"/>
    </xf>
    <xf numFmtId="0" fontId="11" fillId="2" borderId="0" xfId="0" applyFont="1" applyFill="1" applyAlignment="1">
      <alignment vertical="center"/>
    </xf>
    <xf numFmtId="0" fontId="11" fillId="2" borderId="0" xfId="0" applyFont="1" applyFill="1" applyAlignment="1">
      <alignment horizontal="left" vertical="center"/>
    </xf>
    <xf numFmtId="169" fontId="13" fillId="5" borderId="2" xfId="2" applyNumberFormat="1" applyFont="1" applyFill="1" applyBorder="1" applyAlignment="1">
      <alignment horizontal="right" vertical="center"/>
    </xf>
    <xf numFmtId="165" fontId="13" fillId="6" borderId="5" xfId="1" applyNumberFormat="1" applyFont="1" applyFill="1" applyBorder="1" applyAlignment="1" applyProtection="1">
      <alignment horizontal="right" vertical="center"/>
      <protection locked="0"/>
    </xf>
    <xf numFmtId="0" fontId="5" fillId="4" borderId="3" xfId="0" applyFont="1" applyFill="1" applyBorder="1" applyAlignment="1">
      <alignment horizontal="left" vertical="center"/>
    </xf>
    <xf numFmtId="10" fontId="13" fillId="5" borderId="3" xfId="4" applyNumberFormat="1" applyFont="1" applyFill="1" applyBorder="1" applyAlignment="1">
      <alignment horizontal="right" vertical="center"/>
    </xf>
    <xf numFmtId="0" fontId="11" fillId="2" borderId="0" xfId="0" applyFont="1" applyFill="1" applyBorder="1" applyAlignment="1">
      <alignment vertical="center"/>
    </xf>
    <xf numFmtId="167" fontId="13" fillId="5" borderId="5" xfId="4" applyNumberFormat="1" applyFont="1" applyFill="1" applyBorder="1" applyAlignment="1">
      <alignment horizontal="center" vertical="center"/>
    </xf>
    <xf numFmtId="0" fontId="5" fillId="4" borderId="3" xfId="0" applyFont="1" applyFill="1" applyBorder="1" applyAlignment="1">
      <alignment vertical="center"/>
    </xf>
    <xf numFmtId="0" fontId="5" fillId="4" borderId="4" xfId="0" applyFont="1" applyFill="1" applyBorder="1" applyAlignment="1">
      <alignment vertical="center"/>
    </xf>
    <xf numFmtId="169" fontId="13" fillId="5" borderId="5" xfId="2" applyNumberFormat="1" applyFont="1" applyFill="1" applyBorder="1" applyAlignment="1">
      <alignment vertical="center"/>
    </xf>
    <xf numFmtId="0" fontId="5" fillId="4" borderId="6" xfId="0" applyFont="1" applyFill="1" applyBorder="1" applyAlignment="1">
      <alignment horizontal="left" vertical="center"/>
    </xf>
    <xf numFmtId="0" fontId="13" fillId="5" borderId="6" xfId="0" applyFont="1" applyFill="1" applyBorder="1" applyAlignment="1">
      <alignment horizontal="right" vertical="center"/>
    </xf>
    <xf numFmtId="172" fontId="11" fillId="5" borderId="0" xfId="0" applyNumberFormat="1" applyFont="1" applyFill="1" applyAlignment="1">
      <alignment vertical="center"/>
    </xf>
    <xf numFmtId="3" fontId="11" fillId="5" borderId="0" xfId="0" applyNumberFormat="1" applyFont="1" applyFill="1" applyAlignment="1">
      <alignment vertical="center"/>
    </xf>
    <xf numFmtId="0" fontId="13" fillId="5" borderId="9" xfId="0" applyFont="1" applyFill="1" applyBorder="1" applyAlignment="1" applyProtection="1">
      <alignment horizontal="center" vertical="center"/>
    </xf>
    <xf numFmtId="0" fontId="13" fillId="5" borderId="22" xfId="0" applyFont="1" applyFill="1" applyBorder="1" applyAlignment="1" applyProtection="1">
      <alignment horizontal="center" vertical="center"/>
    </xf>
    <xf numFmtId="0" fontId="13" fillId="5" borderId="19" xfId="0" applyFont="1" applyFill="1" applyBorder="1" applyAlignment="1" applyProtection="1">
      <alignment horizontal="center" vertical="center"/>
    </xf>
    <xf numFmtId="0" fontId="13" fillId="5" borderId="10"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11" xfId="0" applyFont="1" applyFill="1" applyBorder="1" applyAlignment="1" applyProtection="1">
      <alignment horizontal="center" vertical="center"/>
    </xf>
    <xf numFmtId="15" fontId="11" fillId="5" borderId="12" xfId="0" applyNumberFormat="1" applyFont="1" applyFill="1" applyBorder="1" applyAlignment="1" applyProtection="1">
      <alignment horizontal="center" vertical="center"/>
    </xf>
    <xf numFmtId="10" fontId="11" fillId="5" borderId="12" xfId="4" applyNumberFormat="1" applyFont="1" applyFill="1" applyBorder="1" applyAlignment="1" applyProtection="1">
      <alignment horizontal="center" vertical="center"/>
    </xf>
    <xf numFmtId="167" fontId="11" fillId="5" borderId="13" xfId="4" applyNumberFormat="1" applyFont="1" applyFill="1" applyBorder="1" applyAlignment="1" applyProtection="1">
      <alignment horizontal="center" vertical="center"/>
    </xf>
    <xf numFmtId="3" fontId="11" fillId="5" borderId="14" xfId="0" applyNumberFormat="1" applyFont="1" applyFill="1" applyBorder="1" applyAlignment="1" applyProtection="1">
      <alignment horizontal="center" vertical="center"/>
    </xf>
    <xf numFmtId="10" fontId="13" fillId="5" borderId="9" xfId="4" applyNumberFormat="1" applyFont="1" applyFill="1" applyBorder="1" applyAlignment="1" applyProtection="1">
      <alignment horizontal="center" vertical="center"/>
    </xf>
    <xf numFmtId="10" fontId="13" fillId="5" borderId="10" xfId="4" applyNumberFormat="1" applyFont="1" applyFill="1" applyBorder="1" applyAlignment="1" applyProtection="1">
      <alignment horizontal="center" vertical="center"/>
    </xf>
    <xf numFmtId="3" fontId="13" fillId="5" borderId="19" xfId="0" applyNumberFormat="1" applyFont="1" applyFill="1" applyBorder="1" applyAlignment="1" applyProtection="1">
      <alignment horizontal="center" vertical="center"/>
    </xf>
    <xf numFmtId="0" fontId="7" fillId="5" borderId="0" xfId="0" applyFont="1" applyFill="1" applyAlignment="1">
      <alignment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9" xfId="0" applyFont="1" applyFill="1" applyBorder="1" applyAlignment="1">
      <alignment horizontal="center" vertical="center"/>
    </xf>
    <xf numFmtId="14" fontId="14" fillId="5" borderId="8" xfId="0" applyNumberFormat="1" applyFont="1" applyFill="1" applyBorder="1" applyAlignment="1">
      <alignment horizontal="right" vertical="center"/>
    </xf>
    <xf numFmtId="165" fontId="14" fillId="5" borderId="7" xfId="1" applyNumberFormat="1" applyFont="1" applyFill="1" applyBorder="1" applyAlignment="1">
      <alignment horizontal="center" vertical="center"/>
    </xf>
    <xf numFmtId="3" fontId="4" fillId="5" borderId="7" xfId="1" applyNumberFormat="1" applyFont="1" applyFill="1" applyBorder="1" applyAlignment="1">
      <alignment horizontal="center" vertical="center"/>
    </xf>
    <xf numFmtId="3" fontId="4" fillId="5" borderId="13" xfId="0" applyNumberFormat="1" applyFont="1" applyFill="1" applyBorder="1" applyAlignment="1">
      <alignment horizontal="center" vertical="center"/>
    </xf>
    <xf numFmtId="0" fontId="14" fillId="5" borderId="24" xfId="0" applyFont="1" applyFill="1" applyBorder="1" applyAlignment="1">
      <alignment vertical="center"/>
    </xf>
    <xf numFmtId="0" fontId="11" fillId="5" borderId="0" xfId="0" applyFont="1" applyFill="1" applyAlignment="1" applyProtection="1">
      <alignment vertical="center"/>
    </xf>
    <xf numFmtId="0" fontId="11" fillId="5" borderId="8" xfId="0" applyFont="1" applyFill="1" applyBorder="1" applyAlignment="1" applyProtection="1">
      <alignment vertical="center"/>
    </xf>
    <xf numFmtId="0" fontId="11" fillId="5" borderId="20" xfId="0" applyFont="1" applyFill="1" applyBorder="1" applyAlignment="1" applyProtection="1">
      <alignment vertical="center"/>
    </xf>
    <xf numFmtId="10" fontId="13" fillId="5" borderId="20" xfId="0" applyNumberFormat="1" applyFont="1" applyFill="1" applyBorder="1" applyAlignment="1" applyProtection="1">
      <alignment horizontal="center" vertical="center"/>
    </xf>
    <xf numFmtId="10" fontId="13" fillId="5" borderId="21" xfId="0" applyNumberFormat="1" applyFont="1" applyFill="1" applyBorder="1" applyAlignment="1" applyProtection="1">
      <alignment horizontal="center" vertical="center"/>
    </xf>
    <xf numFmtId="10" fontId="13" fillId="5" borderId="13" xfId="0" applyNumberFormat="1" applyFont="1" applyFill="1" applyBorder="1" applyAlignment="1" applyProtection="1">
      <alignment horizontal="center" vertical="center"/>
    </xf>
    <xf numFmtId="0" fontId="13" fillId="5" borderId="3" xfId="0" applyFont="1" applyFill="1" applyBorder="1" applyAlignment="1">
      <alignment horizontal="center" vertical="center"/>
    </xf>
    <xf numFmtId="1" fontId="11" fillId="5" borderId="0" xfId="0" applyNumberFormat="1" applyFont="1" applyFill="1" applyAlignment="1" applyProtection="1">
      <alignment horizontal="center" vertical="center"/>
    </xf>
    <xf numFmtId="10" fontId="11" fillId="5" borderId="20" xfId="0" applyNumberFormat="1" applyFont="1" applyFill="1" applyBorder="1" applyAlignment="1" applyProtection="1">
      <alignment horizontal="center" vertical="center"/>
    </xf>
    <xf numFmtId="165" fontId="11" fillId="5" borderId="21" xfId="1" applyNumberFormat="1" applyFont="1" applyFill="1" applyBorder="1" applyAlignment="1" applyProtection="1">
      <alignment horizontal="center" vertical="center"/>
    </xf>
    <xf numFmtId="165" fontId="11" fillId="5" borderId="13" xfId="1" applyNumberFormat="1" applyFont="1" applyFill="1" applyBorder="1" applyAlignment="1" applyProtection="1">
      <alignment horizontal="center" vertical="center"/>
    </xf>
    <xf numFmtId="10" fontId="11" fillId="5" borderId="20" xfId="4" applyNumberFormat="1" applyFont="1" applyFill="1" applyBorder="1" applyAlignment="1" applyProtection="1">
      <alignment horizontal="center" vertical="center"/>
    </xf>
    <xf numFmtId="10" fontId="13" fillId="5" borderId="5" xfId="0" applyNumberFormat="1" applyFont="1" applyFill="1" applyBorder="1" applyAlignment="1" applyProtection="1">
      <alignment horizontal="center" vertical="center"/>
    </xf>
    <xf numFmtId="10" fontId="13" fillId="5" borderId="5" xfId="4" applyNumberFormat="1" applyFont="1" applyFill="1" applyBorder="1" applyAlignment="1">
      <alignment horizontal="center" vertical="center"/>
    </xf>
    <xf numFmtId="0" fontId="11" fillId="5" borderId="22" xfId="0" applyFont="1" applyFill="1" applyBorder="1" applyAlignment="1" applyProtection="1">
      <alignment vertical="center"/>
    </xf>
    <xf numFmtId="0" fontId="11" fillId="5" borderId="9" xfId="0" applyFont="1" applyFill="1" applyBorder="1" applyAlignment="1" applyProtection="1">
      <alignment vertical="center"/>
    </xf>
    <xf numFmtId="0" fontId="11" fillId="5" borderId="19" xfId="0" applyFont="1" applyFill="1" applyBorder="1" applyAlignment="1" applyProtection="1">
      <alignment vertical="center"/>
    </xf>
    <xf numFmtId="165" fontId="13" fillId="5" borderId="15" xfId="0" applyNumberFormat="1" applyFont="1" applyFill="1" applyBorder="1" applyAlignment="1" applyProtection="1">
      <alignment vertical="center"/>
    </xf>
    <xf numFmtId="165" fontId="13" fillId="5" borderId="10" xfId="0" applyNumberFormat="1" applyFont="1" applyFill="1" applyBorder="1" applyAlignment="1" applyProtection="1">
      <alignment vertical="center"/>
    </xf>
    <xf numFmtId="172" fontId="11" fillId="5" borderId="0" xfId="0" applyNumberFormat="1" applyFont="1" applyFill="1" applyBorder="1" applyAlignment="1">
      <alignment vertical="center"/>
    </xf>
    <xf numFmtId="0" fontId="11" fillId="5" borderId="10" xfId="0" applyFont="1" applyFill="1" applyBorder="1" applyAlignment="1">
      <alignment vertical="center"/>
    </xf>
    <xf numFmtId="0" fontId="11" fillId="5" borderId="21" xfId="0" applyFont="1" applyFill="1" applyBorder="1" applyAlignment="1">
      <alignment vertical="center"/>
    </xf>
    <xf numFmtId="0" fontId="11" fillId="5" borderId="7" xfId="0" applyFont="1" applyFill="1" applyBorder="1" applyAlignment="1">
      <alignment vertical="center"/>
    </xf>
    <xf numFmtId="165" fontId="11" fillId="5" borderId="7" xfId="1" applyNumberFormat="1" applyFont="1" applyFill="1" applyBorder="1" applyAlignment="1">
      <alignment vertical="center"/>
    </xf>
    <xf numFmtId="172" fontId="11" fillId="5" borderId="7" xfId="0" applyNumberFormat="1" applyFont="1" applyFill="1" applyBorder="1" applyAlignment="1">
      <alignment vertical="center"/>
    </xf>
    <xf numFmtId="0" fontId="11" fillId="5" borderId="18" xfId="0" applyFont="1" applyFill="1" applyBorder="1" applyAlignment="1">
      <alignment vertical="center"/>
    </xf>
    <xf numFmtId="172" fontId="11" fillId="5" borderId="21" xfId="0" applyNumberFormat="1" applyFont="1" applyFill="1" applyBorder="1" applyAlignment="1">
      <alignment vertical="center"/>
    </xf>
    <xf numFmtId="1" fontId="11" fillId="5" borderId="13" xfId="1" applyNumberFormat="1" applyFont="1" applyFill="1" applyBorder="1" applyAlignment="1">
      <alignment horizontal="center" vertical="center"/>
    </xf>
    <xf numFmtId="3" fontId="11" fillId="5" borderId="13" xfId="0" applyNumberFormat="1" applyFont="1" applyFill="1" applyBorder="1" applyAlignment="1">
      <alignment vertical="center"/>
    </xf>
    <xf numFmtId="170" fontId="11" fillId="5" borderId="13" xfId="0" applyNumberFormat="1" applyFont="1" applyFill="1" applyBorder="1" applyAlignment="1">
      <alignment vertical="center"/>
    </xf>
    <xf numFmtId="172" fontId="11" fillId="5" borderId="13" xfId="0" applyNumberFormat="1" applyFont="1" applyFill="1" applyBorder="1" applyAlignment="1">
      <alignment vertical="center"/>
    </xf>
    <xf numFmtId="172" fontId="11" fillId="5" borderId="14" xfId="0" applyNumberFormat="1" applyFont="1" applyFill="1" applyBorder="1" applyAlignment="1">
      <alignment vertical="center"/>
    </xf>
    <xf numFmtId="4" fontId="11" fillId="5" borderId="0" xfId="0" applyNumberFormat="1" applyFont="1" applyFill="1" applyAlignment="1">
      <alignment vertical="center"/>
    </xf>
    <xf numFmtId="165" fontId="11" fillId="5" borderId="1" xfId="0" applyNumberFormat="1" applyFont="1" applyFill="1" applyBorder="1" applyAlignment="1">
      <alignment vertical="center"/>
    </xf>
    <xf numFmtId="0" fontId="11" fillId="5" borderId="1" xfId="0" applyFont="1" applyFill="1" applyBorder="1" applyAlignment="1">
      <alignment vertical="center"/>
    </xf>
    <xf numFmtId="170" fontId="11" fillId="5" borderId="27" xfId="0" applyNumberFormat="1" applyFont="1" applyFill="1" applyBorder="1" applyAlignment="1">
      <alignment vertical="center"/>
    </xf>
    <xf numFmtId="10" fontId="13" fillId="6" borderId="5" xfId="4" applyNumberFormat="1"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xf>
    <xf numFmtId="0" fontId="14" fillId="5" borderId="13" xfId="0" applyFont="1" applyFill="1" applyBorder="1" applyAlignment="1" applyProtection="1">
      <alignment horizontal="center" vertical="center"/>
    </xf>
    <xf numFmtId="3" fontId="4" fillId="5" borderId="25" xfId="0" applyNumberFormat="1" applyFont="1" applyFill="1" applyBorder="1" applyAlignment="1">
      <alignment horizontal="center" vertical="center"/>
    </xf>
    <xf numFmtId="3" fontId="4" fillId="5" borderId="26" xfId="0" applyNumberFormat="1" applyFont="1" applyFill="1" applyBorder="1" applyAlignment="1">
      <alignment horizontal="center" vertical="center"/>
    </xf>
    <xf numFmtId="14" fontId="4" fillId="3" borderId="12" xfId="0" applyNumberFormat="1" applyFont="1" applyFill="1" applyBorder="1" applyAlignment="1">
      <alignment horizontal="center" vertical="center"/>
    </xf>
    <xf numFmtId="14" fontId="4" fillId="3" borderId="21" xfId="0" applyNumberFormat="1" applyFont="1" applyFill="1" applyBorder="1" applyAlignment="1">
      <alignment horizontal="center" vertical="center"/>
    </xf>
    <xf numFmtId="0" fontId="11" fillId="3" borderId="23" xfId="0" applyFont="1" applyFill="1" applyBorder="1" applyAlignment="1">
      <alignment vertical="center"/>
    </xf>
    <xf numFmtId="3" fontId="4" fillId="3" borderId="13" xfId="0" applyNumberFormat="1" applyFont="1" applyFill="1" applyBorder="1" applyAlignment="1">
      <alignment horizontal="center" vertical="center"/>
    </xf>
    <xf numFmtId="3" fontId="4" fillId="3" borderId="28" xfId="0" applyNumberFormat="1" applyFont="1" applyFill="1" applyBorder="1" applyAlignment="1">
      <alignment horizontal="center" vertical="center"/>
    </xf>
    <xf numFmtId="41" fontId="11" fillId="3" borderId="21" xfId="1" applyNumberFormat="1" applyFont="1" applyFill="1" applyBorder="1" applyAlignment="1">
      <alignment vertical="center"/>
    </xf>
    <xf numFmtId="41" fontId="11" fillId="3" borderId="0" xfId="1" applyNumberFormat="1" applyFont="1" applyFill="1" applyBorder="1" applyAlignment="1">
      <alignment vertical="center"/>
    </xf>
    <xf numFmtId="165" fontId="11" fillId="3" borderId="0" xfId="1" applyNumberFormat="1" applyFont="1" applyFill="1" applyBorder="1" applyAlignment="1">
      <alignment vertical="center"/>
    </xf>
    <xf numFmtId="168" fontId="19" fillId="5" borderId="12" xfId="0" applyNumberFormat="1" applyFont="1" applyFill="1" applyBorder="1" applyAlignment="1" applyProtection="1">
      <alignment horizontal="center" vertical="center"/>
    </xf>
    <xf numFmtId="3" fontId="19" fillId="5" borderId="18" xfId="0" applyNumberFormat="1" applyFont="1" applyFill="1" applyBorder="1" applyAlignment="1" applyProtection="1">
      <alignment horizontal="center" vertical="center"/>
    </xf>
    <xf numFmtId="0" fontId="9" fillId="5" borderId="0" xfId="0" applyFont="1" applyFill="1" applyAlignment="1">
      <alignment horizontal="center" vertical="center"/>
    </xf>
    <xf numFmtId="10" fontId="6" fillId="5" borderId="0" xfId="4" applyNumberFormat="1" applyFont="1" applyFill="1" applyBorder="1" applyAlignment="1">
      <alignment horizontal="center" vertical="center"/>
    </xf>
    <xf numFmtId="0" fontId="13" fillId="5" borderId="9"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15" fontId="11" fillId="5" borderId="12" xfId="0" applyNumberFormat="1" applyFont="1" applyFill="1" applyBorder="1" applyAlignment="1">
      <alignment horizontal="center" vertical="center"/>
    </xf>
    <xf numFmtId="10" fontId="13" fillId="5" borderId="3" xfId="0" applyNumberFormat="1" applyFont="1" applyFill="1" applyBorder="1" applyAlignment="1">
      <alignment horizontal="right" vertical="center"/>
    </xf>
    <xf numFmtId="10" fontId="13" fillId="6" borderId="5" xfId="0" applyNumberFormat="1" applyFont="1" applyFill="1" applyBorder="1" applyAlignment="1" applyProtection="1">
      <alignment horizontal="center" vertical="center"/>
      <protection locked="0"/>
    </xf>
    <xf numFmtId="10" fontId="11" fillId="2" borderId="0" xfId="0" applyNumberFormat="1" applyFont="1" applyFill="1" applyBorder="1" applyAlignment="1">
      <alignment vertical="center"/>
    </xf>
    <xf numFmtId="10" fontId="13" fillId="5" borderId="5" xfId="0" applyNumberFormat="1" applyFont="1" applyFill="1" applyBorder="1" applyAlignment="1">
      <alignment horizontal="center" vertical="center"/>
    </xf>
    <xf numFmtId="0" fontId="13" fillId="5" borderId="15" xfId="0" applyFont="1" applyFill="1" applyBorder="1" applyAlignment="1">
      <alignment horizontal="center" vertical="center"/>
    </xf>
    <xf numFmtId="3" fontId="13" fillId="5" borderId="10" xfId="0" applyNumberFormat="1" applyFont="1" applyFill="1" applyBorder="1" applyAlignment="1">
      <alignment horizontal="center" vertical="center"/>
    </xf>
    <xf numFmtId="0" fontId="13" fillId="5" borderId="8"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6" xfId="0" applyFont="1" applyFill="1" applyBorder="1" applyAlignment="1">
      <alignment horizontal="center" vertical="center"/>
    </xf>
    <xf numFmtId="14" fontId="13" fillId="5" borderId="8" xfId="0" applyNumberFormat="1" applyFont="1" applyFill="1" applyBorder="1" applyAlignment="1">
      <alignment horizontal="right" vertical="center"/>
    </xf>
    <xf numFmtId="165" fontId="13" fillId="5" borderId="17" xfId="1" applyNumberFormat="1" applyFont="1" applyFill="1" applyBorder="1" applyAlignment="1">
      <alignment horizontal="center" vertical="center"/>
    </xf>
    <xf numFmtId="165" fontId="13" fillId="5" borderId="7" xfId="1" applyNumberFormat="1" applyFont="1" applyFill="1" applyBorder="1" applyAlignment="1">
      <alignment horizontal="center" vertical="center"/>
    </xf>
    <xf numFmtId="165" fontId="11" fillId="5" borderId="18" xfId="1" applyNumberFormat="1" applyFont="1" applyFill="1" applyBorder="1" applyAlignment="1">
      <alignment vertical="center"/>
    </xf>
    <xf numFmtId="43" fontId="11" fillId="5" borderId="0" xfId="1" applyFont="1" applyFill="1" applyAlignment="1">
      <alignment vertical="center"/>
    </xf>
    <xf numFmtId="14" fontId="4" fillId="5" borderId="35" xfId="1" applyNumberFormat="1" applyFont="1" applyFill="1" applyBorder="1" applyAlignment="1">
      <alignment horizontal="center" vertical="center"/>
    </xf>
    <xf numFmtId="3" fontId="4" fillId="5" borderId="20" xfId="0" applyNumberFormat="1" applyFont="1" applyFill="1" applyBorder="1" applyAlignment="1">
      <alignment horizontal="center" vertical="center"/>
    </xf>
    <xf numFmtId="3" fontId="4" fillId="5" borderId="0" xfId="0" applyNumberFormat="1" applyFont="1" applyFill="1" applyBorder="1" applyAlignment="1">
      <alignment horizontal="center" vertical="center"/>
    </xf>
    <xf numFmtId="165" fontId="11" fillId="5" borderId="14" xfId="1" applyNumberFormat="1" applyFont="1" applyFill="1" applyBorder="1" applyAlignment="1">
      <alignment vertical="center"/>
    </xf>
    <xf numFmtId="165" fontId="11" fillId="5" borderId="0" xfId="0" applyNumberFormat="1" applyFont="1" applyFill="1" applyAlignment="1">
      <alignment vertical="center"/>
    </xf>
    <xf numFmtId="14" fontId="4" fillId="5" borderId="13" xfId="0" applyNumberFormat="1" applyFont="1" applyFill="1" applyBorder="1" applyAlignment="1">
      <alignment horizontal="center" vertical="center"/>
    </xf>
    <xf numFmtId="0" fontId="13" fillId="5" borderId="15" xfId="0" applyFont="1" applyFill="1" applyBorder="1" applyAlignment="1">
      <alignment vertical="center"/>
    </xf>
    <xf numFmtId="3" fontId="11" fillId="5" borderId="19" xfId="0" applyNumberFormat="1" applyFont="1" applyFill="1" applyBorder="1" applyAlignment="1">
      <alignment horizontal="center" vertical="center"/>
    </xf>
    <xf numFmtId="165" fontId="11" fillId="5" borderId="20" xfId="1" applyNumberFormat="1" applyFont="1" applyFill="1" applyBorder="1" applyAlignment="1">
      <alignment horizontal="center" vertical="center"/>
    </xf>
    <xf numFmtId="165" fontId="11" fillId="5" borderId="0" xfId="1" applyNumberFormat="1" applyFont="1" applyFill="1" applyBorder="1" applyAlignment="1">
      <alignment horizontal="center" vertical="center"/>
    </xf>
    <xf numFmtId="41" fontId="11" fillId="5" borderId="13" xfId="0" applyNumberFormat="1" applyFont="1" applyFill="1" applyBorder="1" applyAlignment="1">
      <alignment horizontal="center" vertical="center"/>
    </xf>
    <xf numFmtId="41" fontId="11" fillId="5" borderId="14" xfId="0" applyNumberFormat="1" applyFont="1" applyFill="1" applyBorder="1" applyAlignment="1">
      <alignment horizontal="center" vertical="center"/>
    </xf>
    <xf numFmtId="10" fontId="11" fillId="5" borderId="0" xfId="4" applyNumberFormat="1" applyFont="1" applyFill="1" applyAlignment="1">
      <alignment vertical="center"/>
    </xf>
    <xf numFmtId="0" fontId="11" fillId="5" borderId="0" xfId="0" applyFont="1" applyFill="1" applyAlignment="1">
      <alignment horizontal="right" vertical="center"/>
    </xf>
    <xf numFmtId="15" fontId="20" fillId="5" borderId="12" xfId="0" applyNumberFormat="1" applyFont="1" applyFill="1" applyBorder="1" applyAlignment="1">
      <alignment horizontal="center" vertical="center"/>
    </xf>
    <xf numFmtId="41" fontId="20" fillId="5" borderId="13" xfId="0" applyNumberFormat="1" applyFont="1" applyFill="1" applyBorder="1" applyAlignment="1">
      <alignment horizontal="center" vertical="center"/>
    </xf>
    <xf numFmtId="41" fontId="20" fillId="5" borderId="14" xfId="0" applyNumberFormat="1" applyFont="1" applyFill="1" applyBorder="1" applyAlignment="1">
      <alignment horizontal="center" vertical="center"/>
    </xf>
    <xf numFmtId="10" fontId="11" fillId="5" borderId="0" xfId="0" applyNumberFormat="1" applyFont="1" applyFill="1" applyAlignment="1">
      <alignment vertical="center"/>
    </xf>
    <xf numFmtId="3" fontId="11" fillId="5" borderId="0" xfId="0" applyNumberFormat="1" applyFont="1" applyFill="1" applyBorder="1" applyAlignment="1">
      <alignment vertical="center"/>
    </xf>
    <xf numFmtId="173" fontId="13" fillId="5" borderId="3" xfId="0" applyNumberFormat="1" applyFont="1" applyFill="1" applyBorder="1" applyAlignment="1">
      <alignment horizontal="right" vertical="center"/>
    </xf>
    <xf numFmtId="171" fontId="13" fillId="5" borderId="3" xfId="3" applyNumberFormat="1" applyFont="1" applyFill="1" applyBorder="1" applyAlignment="1">
      <alignment horizontal="right" vertical="center"/>
    </xf>
    <xf numFmtId="171" fontId="13" fillId="5" borderId="0" xfId="3" applyNumberFormat="1" applyFont="1" applyFill="1" applyAlignment="1">
      <alignment horizontal="right" vertical="center"/>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6" fillId="5" borderId="33" xfId="0" applyFont="1" applyFill="1" applyBorder="1" applyAlignment="1">
      <alignment horizontal="justify" vertical="center" wrapText="1"/>
    </xf>
    <xf numFmtId="0" fontId="16" fillId="5" borderId="17" xfId="0" applyFont="1" applyFill="1" applyBorder="1" applyAlignment="1">
      <alignment horizontal="justify" vertical="center" wrapText="1"/>
    </xf>
    <xf numFmtId="0" fontId="16" fillId="5" borderId="16" xfId="0" applyFont="1" applyFill="1" applyBorder="1" applyAlignment="1">
      <alignment horizontal="justify" vertical="center" wrapText="1"/>
    </xf>
    <xf numFmtId="0" fontId="16" fillId="5" borderId="21" xfId="0" applyFont="1" applyFill="1" applyBorder="1" applyAlignment="1">
      <alignment horizontal="justify" vertical="center" wrapText="1"/>
    </xf>
    <xf numFmtId="0" fontId="16" fillId="5" borderId="0" xfId="0" applyFont="1" applyFill="1" applyBorder="1" applyAlignment="1">
      <alignment horizontal="justify" vertical="center" wrapText="1"/>
    </xf>
    <xf numFmtId="0" fontId="16" fillId="5" borderId="20" xfId="0" applyFont="1" applyFill="1" applyBorder="1" applyAlignment="1">
      <alignment horizontal="justify" vertical="center" wrapText="1"/>
    </xf>
    <xf numFmtId="0" fontId="16" fillId="5" borderId="24" xfId="0" applyFont="1" applyFill="1" applyBorder="1" applyAlignment="1">
      <alignment horizontal="justify" vertical="center" wrapText="1"/>
    </xf>
    <xf numFmtId="0" fontId="16" fillId="5" borderId="1" xfId="0" applyFont="1" applyFill="1" applyBorder="1" applyAlignment="1">
      <alignment horizontal="justify" vertical="center" wrapText="1"/>
    </xf>
    <xf numFmtId="0" fontId="16" fillId="5" borderId="34" xfId="0" applyFont="1" applyFill="1" applyBorder="1" applyAlignment="1">
      <alignment horizontal="justify" vertical="center" wrapText="1"/>
    </xf>
    <xf numFmtId="0" fontId="8" fillId="5" borderId="0" xfId="0" applyFont="1" applyFill="1" applyAlignment="1">
      <alignment horizontal="center" vertical="center"/>
    </xf>
    <xf numFmtId="0" fontId="10" fillId="5" borderId="0" xfId="0" applyFont="1" applyFill="1" applyAlignment="1">
      <alignment horizontal="center" vertical="center"/>
    </xf>
    <xf numFmtId="0" fontId="17" fillId="4" borderId="4"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32" xfId="0" applyFont="1" applyFill="1" applyBorder="1" applyAlignment="1">
      <alignment horizontal="center" vertical="center"/>
    </xf>
    <xf numFmtId="0" fontId="11" fillId="5" borderId="0" xfId="0" applyFont="1" applyFill="1" applyBorder="1" applyAlignment="1">
      <alignment horizontal="left" vertical="center" wrapText="1"/>
    </xf>
    <xf numFmtId="0" fontId="16" fillId="5" borderId="33"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34" xfId="0" applyFont="1" applyFill="1" applyBorder="1" applyAlignment="1">
      <alignment horizontal="center" vertical="center" wrapText="1"/>
    </xf>
  </cellXfs>
  <cellStyles count="5">
    <cellStyle name="Millares" xfId="1" builtinId="3"/>
    <cellStyle name="Moneda" xfId="2" builtinId="4"/>
    <cellStyle name="Normal" xfId="0" builtinId="0"/>
    <cellStyle name="Normal_Análisis Estructura" xfId="3"/>
    <cellStyle name="Porcentual"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17</xdr:col>
      <xdr:colOff>380978</xdr:colOff>
      <xdr:row>0</xdr:row>
      <xdr:rowOff>23817</xdr:rowOff>
    </xdr:from>
    <xdr:to>
      <xdr:col>18</xdr:col>
      <xdr:colOff>833425</xdr:colOff>
      <xdr:row>3</xdr:row>
      <xdr:rowOff>127427</xdr:rowOff>
    </xdr:to>
    <xdr:pic>
      <xdr:nvPicPr>
        <xdr:cNvPr id="4" name="Picture 17" descr="logocredimas"/>
        <xdr:cNvPicPr>
          <a:picLocks noChangeAspect="1" noChangeArrowheads="1"/>
        </xdr:cNvPicPr>
      </xdr:nvPicPr>
      <xdr:blipFill>
        <a:blip xmlns:r="http://schemas.openxmlformats.org/officeDocument/2006/relationships" r:embed="rId1" cstate="print"/>
        <a:srcRect/>
        <a:stretch>
          <a:fillRect/>
        </a:stretch>
      </xdr:blipFill>
      <xdr:spPr bwMode="auto">
        <a:xfrm>
          <a:off x="11894322" y="23817"/>
          <a:ext cx="1285884" cy="75845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380978</xdr:colOff>
      <xdr:row>0</xdr:row>
      <xdr:rowOff>23817</xdr:rowOff>
    </xdr:from>
    <xdr:to>
      <xdr:col>18</xdr:col>
      <xdr:colOff>833425</xdr:colOff>
      <xdr:row>3</xdr:row>
      <xdr:rowOff>127427</xdr:rowOff>
    </xdr:to>
    <xdr:pic>
      <xdr:nvPicPr>
        <xdr:cNvPr id="2" name="Picture 17" descr="logocredimas"/>
        <xdr:cNvPicPr>
          <a:picLocks noChangeAspect="1" noChangeArrowheads="1"/>
        </xdr:cNvPicPr>
      </xdr:nvPicPr>
      <xdr:blipFill>
        <a:blip xmlns:r="http://schemas.openxmlformats.org/officeDocument/2006/relationships" r:embed="rId1" cstate="print"/>
        <a:srcRect/>
        <a:stretch>
          <a:fillRect/>
        </a:stretch>
      </xdr:blipFill>
      <xdr:spPr bwMode="auto">
        <a:xfrm>
          <a:off x="11887178" y="23817"/>
          <a:ext cx="1290647" cy="75131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11205</xdr:colOff>
      <xdr:row>0</xdr:row>
      <xdr:rowOff>0</xdr:rowOff>
    </xdr:from>
    <xdr:to>
      <xdr:col>12</xdr:col>
      <xdr:colOff>165295</xdr:colOff>
      <xdr:row>3</xdr:row>
      <xdr:rowOff>175748</xdr:rowOff>
    </xdr:to>
    <xdr:pic>
      <xdr:nvPicPr>
        <xdr:cNvPr id="3" name="Picture 17" descr="logocredimas"/>
        <xdr:cNvPicPr>
          <a:picLocks noChangeAspect="1" noChangeArrowheads="1"/>
        </xdr:cNvPicPr>
      </xdr:nvPicPr>
      <xdr:blipFill>
        <a:blip xmlns:r="http://schemas.openxmlformats.org/officeDocument/2006/relationships" r:embed="rId1" cstate="print"/>
        <a:srcRect/>
        <a:stretch>
          <a:fillRect/>
        </a:stretch>
      </xdr:blipFill>
      <xdr:spPr bwMode="auto">
        <a:xfrm>
          <a:off x="10242176" y="0"/>
          <a:ext cx="1285884" cy="75845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Hoja11">
    <pageSetUpPr fitToPage="1"/>
  </sheetPr>
  <dimension ref="B1:Y55"/>
  <sheetViews>
    <sheetView tabSelected="1" topLeftCell="F4" zoomScale="80" zoomScaleNormal="80" zoomScaleSheetLayoutView="87" workbookViewId="0">
      <selection activeCell="G9" sqref="G9"/>
    </sheetView>
  </sheetViews>
  <sheetFormatPr baseColWidth="10" defaultColWidth="9.140625" defaultRowHeight="13.5"/>
  <cols>
    <col min="1" max="1" width="1.7109375" style="16" customWidth="1"/>
    <col min="2" max="2" width="3.7109375" style="16" customWidth="1"/>
    <col min="3" max="3" width="25.5703125" style="16" customWidth="1"/>
    <col min="4" max="4" width="22.28515625" style="16" bestFit="1" customWidth="1"/>
    <col min="5" max="5" width="3.7109375" style="16" customWidth="1"/>
    <col min="6" max="6" width="28.140625" style="16" customWidth="1"/>
    <col min="7" max="7" width="18.42578125" style="16" bestFit="1" customWidth="1"/>
    <col min="8" max="9" width="2.7109375" style="16" customWidth="1"/>
    <col min="10" max="10" width="16.28515625" style="16" customWidth="1"/>
    <col min="11" max="11" width="5.7109375" style="16" customWidth="1"/>
    <col min="12" max="12" width="14.5703125" style="16" bestFit="1" customWidth="1"/>
    <col min="13" max="13" width="11.85546875" style="16" customWidth="1"/>
    <col min="14" max="14" width="15.42578125" style="16" hidden="1" customWidth="1"/>
    <col min="15" max="15" width="14.28515625" style="16" hidden="1" customWidth="1"/>
    <col min="16" max="16" width="13" style="16" hidden="1" customWidth="1"/>
    <col min="17" max="17" width="15.140625" style="16" bestFit="1" customWidth="1"/>
    <col min="18" max="18" width="12.5703125" style="16" customWidth="1"/>
    <col min="19" max="19" width="12.7109375" style="16" bestFit="1" customWidth="1"/>
    <col min="20" max="20" width="3.7109375" style="16" customWidth="1"/>
    <col min="21" max="21" width="1.7109375" style="16" customWidth="1"/>
    <col min="22" max="16384" width="9.140625" style="16"/>
  </cols>
  <sheetData>
    <row r="1" spans="2:25" s="4" customFormat="1" ht="12.75" customHeight="1">
      <c r="O1" s="5"/>
    </row>
    <row r="2" spans="2:25" s="4" customFormat="1" ht="20.25">
      <c r="B2" s="160" t="s">
        <v>63</v>
      </c>
      <c r="C2" s="160"/>
      <c r="D2" s="160"/>
      <c r="E2" s="160"/>
      <c r="F2" s="160"/>
      <c r="G2" s="160"/>
      <c r="H2" s="160"/>
      <c r="I2" s="160"/>
      <c r="J2" s="160"/>
      <c r="K2" s="160"/>
      <c r="L2" s="160"/>
      <c r="M2" s="160"/>
      <c r="N2" s="160"/>
      <c r="O2" s="160"/>
      <c r="P2" s="160"/>
      <c r="Q2" s="160"/>
      <c r="R2" s="160"/>
      <c r="S2" s="160"/>
      <c r="T2" s="160"/>
    </row>
    <row r="3" spans="2:25" s="4" customFormat="1" ht="18">
      <c r="B3" s="161" t="s">
        <v>50</v>
      </c>
      <c r="C3" s="161"/>
      <c r="D3" s="161"/>
      <c r="E3" s="161"/>
      <c r="F3" s="161"/>
      <c r="G3" s="161"/>
      <c r="H3" s="161"/>
      <c r="I3" s="161"/>
      <c r="J3" s="161"/>
      <c r="K3" s="161"/>
      <c r="L3" s="161"/>
      <c r="M3" s="161"/>
      <c r="N3" s="161"/>
      <c r="O3" s="161"/>
      <c r="P3" s="161"/>
      <c r="Q3" s="161"/>
      <c r="R3" s="161"/>
      <c r="S3" s="161"/>
      <c r="T3" s="161"/>
    </row>
    <row r="4" spans="2:25" s="4" customFormat="1" ht="14.25">
      <c r="D4" s="6"/>
      <c r="E4" s="6"/>
      <c r="P4" s="13"/>
      <c r="Q4" s="13"/>
      <c r="R4" s="13"/>
      <c r="S4" s="15"/>
      <c r="T4" s="14"/>
    </row>
    <row r="5" spans="2:25">
      <c r="B5" s="18"/>
      <c r="C5" s="18"/>
      <c r="D5" s="19"/>
      <c r="E5" s="19"/>
      <c r="F5" s="18"/>
      <c r="G5" s="18"/>
      <c r="H5" s="18"/>
      <c r="I5" s="18"/>
      <c r="J5" s="18"/>
      <c r="K5" s="18"/>
      <c r="L5" s="18"/>
      <c r="M5" s="18"/>
      <c r="N5" s="18"/>
      <c r="O5" s="18"/>
      <c r="P5" s="18"/>
      <c r="Q5" s="18"/>
      <c r="R5" s="18"/>
      <c r="S5" s="18"/>
      <c r="T5" s="18"/>
    </row>
    <row r="6" spans="2:25">
      <c r="B6" s="18"/>
      <c r="C6" s="18"/>
      <c r="D6" s="19"/>
      <c r="E6" s="19"/>
      <c r="F6" s="18"/>
      <c r="G6" s="18"/>
      <c r="H6" s="18"/>
      <c r="I6" s="18"/>
      <c r="J6" s="18"/>
      <c r="K6" s="18"/>
      <c r="L6" s="18"/>
      <c r="M6" s="18"/>
      <c r="N6" s="18"/>
      <c r="O6" s="18"/>
      <c r="P6" s="18"/>
      <c r="Q6" s="18"/>
      <c r="R6" s="18"/>
      <c r="S6" s="18"/>
      <c r="T6" s="18"/>
    </row>
    <row r="7" spans="2:25" ht="18">
      <c r="B7" s="18"/>
      <c r="C7" s="162" t="s">
        <v>51</v>
      </c>
      <c r="D7" s="163"/>
      <c r="E7" s="19"/>
      <c r="F7" s="162" t="s">
        <v>0</v>
      </c>
      <c r="G7" s="163"/>
      <c r="H7" s="18"/>
      <c r="I7" s="18"/>
      <c r="J7" s="162" t="s">
        <v>25</v>
      </c>
      <c r="K7" s="164"/>
      <c r="L7" s="164"/>
      <c r="M7" s="164"/>
      <c r="N7" s="164"/>
      <c r="O7" s="164"/>
      <c r="P7" s="164"/>
      <c r="Q7" s="164"/>
      <c r="R7" s="164"/>
      <c r="S7" s="163"/>
      <c r="T7" s="18"/>
    </row>
    <row r="8" spans="2:25" ht="14.25" thickBot="1">
      <c r="B8" s="18"/>
      <c r="C8" s="18"/>
      <c r="D8" s="19"/>
      <c r="E8" s="19"/>
      <c r="F8" s="18"/>
      <c r="G8" s="18"/>
      <c r="H8" s="18"/>
      <c r="I8" s="18"/>
      <c r="J8" s="1" t="s">
        <v>35</v>
      </c>
      <c r="K8" s="2"/>
      <c r="L8" s="2"/>
      <c r="M8" s="2"/>
      <c r="N8" s="18"/>
      <c r="O8" s="18"/>
      <c r="P8" s="18"/>
      <c r="Q8" s="18"/>
      <c r="R8" s="18"/>
      <c r="S8" s="18"/>
      <c r="T8" s="18"/>
    </row>
    <row r="9" spans="2:25" ht="15" thickBot="1">
      <c r="B9" s="18"/>
      <c r="C9" s="9" t="s">
        <v>1</v>
      </c>
      <c r="D9" s="20">
        <v>75000000</v>
      </c>
      <c r="E9" s="19"/>
      <c r="F9" s="10" t="s">
        <v>18</v>
      </c>
      <c r="G9" s="21">
        <v>75000000</v>
      </c>
      <c r="H9" s="8"/>
      <c r="I9" s="11" t="e">
        <f>+G9/M51</f>
        <v>#DIV/0!</v>
      </c>
      <c r="J9" s="33" t="s">
        <v>2</v>
      </c>
      <c r="K9" s="34" t="s">
        <v>26</v>
      </c>
      <c r="L9" s="33" t="s">
        <v>27</v>
      </c>
      <c r="M9" s="35" t="s">
        <v>28</v>
      </c>
      <c r="N9" s="33" t="s">
        <v>30</v>
      </c>
      <c r="O9" s="36" t="s">
        <v>31</v>
      </c>
      <c r="P9" s="35" t="s">
        <v>32</v>
      </c>
      <c r="Q9" s="37" t="s">
        <v>4</v>
      </c>
      <c r="R9" s="36" t="s">
        <v>3</v>
      </c>
      <c r="S9" s="38" t="s">
        <v>47</v>
      </c>
      <c r="T9" s="18"/>
    </row>
    <row r="10" spans="2:25">
      <c r="B10" s="18"/>
      <c r="C10" s="22" t="s">
        <v>6</v>
      </c>
      <c r="D10" s="23">
        <v>0.75</v>
      </c>
      <c r="E10" s="19"/>
      <c r="F10" s="24"/>
      <c r="G10" s="24"/>
      <c r="H10" s="18"/>
      <c r="I10" s="18"/>
      <c r="J10" s="104">
        <f>+D16</f>
        <v>42317</v>
      </c>
      <c r="K10" s="55"/>
      <c r="L10" s="56"/>
      <c r="M10" s="57"/>
      <c r="N10" s="92"/>
      <c r="O10" s="93"/>
      <c r="P10" s="58">
        <f>-G17</f>
        <v>-1</v>
      </c>
      <c r="Q10" s="59"/>
      <c r="R10" s="60"/>
      <c r="S10" s="105">
        <f>-G9</f>
        <v>-75000000</v>
      </c>
      <c r="T10" s="18"/>
    </row>
    <row r="11" spans="2:25">
      <c r="B11" s="18"/>
      <c r="C11" s="22" t="s">
        <v>22</v>
      </c>
      <c r="D11" s="61" t="s">
        <v>16</v>
      </c>
      <c r="E11" s="19"/>
      <c r="F11" s="10" t="s">
        <v>21</v>
      </c>
      <c r="G11" s="91">
        <v>0.05</v>
      </c>
      <c r="H11" s="18"/>
      <c r="I11" s="18"/>
      <c r="J11" s="39">
        <f>+J38</f>
        <v>42328</v>
      </c>
      <c r="K11" s="62">
        <f>+K38</f>
        <v>11</v>
      </c>
      <c r="L11" s="40">
        <f t="shared" ref="L11:L22" si="0">P38/100</f>
        <v>0.94666666666666677</v>
      </c>
      <c r="M11" s="66">
        <f>+IF($D$14&gt;$D$12+$G$11, $D$14, IF($D$15&lt;$D$12+$G$11, $D$15, $D$12+$G$11))</f>
        <v>0.26</v>
      </c>
      <c r="N11" s="40">
        <f t="shared" ref="N11:N22" si="1">+O38/100</f>
        <v>5.3333333333333337E-2</v>
      </c>
      <c r="O11" s="41">
        <f t="shared" ref="O11:O22" si="2">+Q38/100</f>
        <v>7.835616438356164E-3</v>
      </c>
      <c r="P11" s="63">
        <f>+IF(J11&lt;$D$16, 0, N11+O11)</f>
        <v>6.1168949771689504E-2</v>
      </c>
      <c r="Q11" s="64">
        <f>+N11*$G$19</f>
        <v>4000000.0000000005</v>
      </c>
      <c r="R11" s="65">
        <f>+O11*$G$19</f>
        <v>587671.23287671234</v>
      </c>
      <c r="S11" s="42">
        <f>SUM(Q11:R11)</f>
        <v>4587671.2328767125</v>
      </c>
      <c r="T11" s="18"/>
      <c r="Y11" s="130"/>
    </row>
    <row r="12" spans="2:25">
      <c r="B12" s="18"/>
      <c r="C12" s="22" t="s">
        <v>23</v>
      </c>
      <c r="D12" s="23">
        <v>0.21</v>
      </c>
      <c r="E12" s="19"/>
      <c r="F12" s="24"/>
      <c r="G12" s="24"/>
      <c r="H12" s="18"/>
      <c r="I12" s="18"/>
      <c r="J12" s="39">
        <f t="shared" ref="J12" si="3">+J39</f>
        <v>42359</v>
      </c>
      <c r="K12" s="62">
        <f t="shared" ref="K12:K21" si="4">+K39</f>
        <v>31</v>
      </c>
      <c r="L12" s="40">
        <f t="shared" si="0"/>
        <v>0.89333333333333342</v>
      </c>
      <c r="M12" s="66">
        <f t="shared" ref="M12:M22" si="5">+IF($D$14&gt;$D$12+$G$11, $D$14, IF($D$15&lt;$D$12+$G$11, $D$15, $D$12+$G$11))</f>
        <v>0.26</v>
      </c>
      <c r="N12" s="40">
        <f t="shared" si="1"/>
        <v>5.3333333333333337E-2</v>
      </c>
      <c r="O12" s="41">
        <f t="shared" si="2"/>
        <v>2.0904474885844751E-2</v>
      </c>
      <c r="P12" s="63">
        <f t="shared" ref="P12:P22" si="6">+IF(J12&lt;$D$16, 0, N12+O12)</f>
        <v>7.4237808219178081E-2</v>
      </c>
      <c r="Q12" s="64">
        <f t="shared" ref="Q12:Q22" si="7">+N12*$G$19</f>
        <v>4000000.0000000005</v>
      </c>
      <c r="R12" s="65">
        <f t="shared" ref="R12:R21" si="8">+O12*$G$19</f>
        <v>1567835.6164383562</v>
      </c>
      <c r="S12" s="42">
        <f t="shared" ref="S12:S21" si="9">SUM(Q12:R12)</f>
        <v>5567835.6164383572</v>
      </c>
      <c r="T12" s="18"/>
      <c r="Y12" s="130"/>
    </row>
    <row r="13" spans="2:25">
      <c r="B13" s="18"/>
      <c r="C13" s="22" t="s">
        <v>20</v>
      </c>
      <c r="D13" s="23">
        <v>0.05</v>
      </c>
      <c r="E13" s="18"/>
      <c r="F13" s="10" t="s">
        <v>7</v>
      </c>
      <c r="G13" s="67">
        <f>+XIRR(S10:S22,J10:J22,)</f>
        <v>0.29345507025718698</v>
      </c>
      <c r="H13" s="18"/>
      <c r="I13" s="18"/>
      <c r="J13" s="39">
        <f t="shared" ref="J13" si="10">+J40</f>
        <v>42389</v>
      </c>
      <c r="K13" s="62">
        <f t="shared" si="4"/>
        <v>30</v>
      </c>
      <c r="L13" s="40">
        <f t="shared" si="0"/>
        <v>0.81333333333333346</v>
      </c>
      <c r="M13" s="66">
        <f t="shared" si="5"/>
        <v>0.26</v>
      </c>
      <c r="N13" s="40">
        <f t="shared" si="1"/>
        <v>0.08</v>
      </c>
      <c r="O13" s="41">
        <f t="shared" si="2"/>
        <v>1.9090410958904108E-2</v>
      </c>
      <c r="P13" s="63">
        <f t="shared" si="6"/>
        <v>9.9090410958904113E-2</v>
      </c>
      <c r="Q13" s="64">
        <f t="shared" si="7"/>
        <v>6000000</v>
      </c>
      <c r="R13" s="65">
        <f t="shared" si="8"/>
        <v>1431780.8219178081</v>
      </c>
      <c r="S13" s="42">
        <f t="shared" si="9"/>
        <v>7431780.8219178077</v>
      </c>
      <c r="T13" s="18"/>
      <c r="Y13" s="130"/>
    </row>
    <row r="14" spans="2:25">
      <c r="B14" s="18"/>
      <c r="C14" s="22" t="s">
        <v>9</v>
      </c>
      <c r="D14" s="23">
        <v>0.2</v>
      </c>
      <c r="E14" s="18"/>
      <c r="F14" s="24"/>
      <c r="G14" s="24"/>
      <c r="H14" s="18"/>
      <c r="I14" s="18"/>
      <c r="J14" s="39">
        <f t="shared" ref="J14" si="11">+J41</f>
        <v>42422</v>
      </c>
      <c r="K14" s="62">
        <f t="shared" si="4"/>
        <v>33</v>
      </c>
      <c r="L14" s="40">
        <f t="shared" si="0"/>
        <v>0.72666666666666668</v>
      </c>
      <c r="M14" s="66">
        <f t="shared" si="5"/>
        <v>0.26</v>
      </c>
      <c r="N14" s="40">
        <f t="shared" si="1"/>
        <v>8.6666666666666684E-2</v>
      </c>
      <c r="O14" s="41">
        <f t="shared" si="2"/>
        <v>1.9118904109589042E-2</v>
      </c>
      <c r="P14" s="63">
        <f t="shared" si="6"/>
        <v>0.10578557077625572</v>
      </c>
      <c r="Q14" s="64">
        <f t="shared" si="7"/>
        <v>6500000.0000000009</v>
      </c>
      <c r="R14" s="65">
        <f t="shared" si="8"/>
        <v>1433917.8082191781</v>
      </c>
      <c r="S14" s="42">
        <f t="shared" si="9"/>
        <v>7933917.8082191795</v>
      </c>
      <c r="T14" s="18"/>
      <c r="Y14" s="130"/>
    </row>
    <row r="15" spans="2:25">
      <c r="B15" s="18"/>
      <c r="C15" s="22" t="s">
        <v>10</v>
      </c>
      <c r="D15" s="23">
        <v>0.32</v>
      </c>
      <c r="E15" s="18"/>
      <c r="F15" s="10" t="s">
        <v>8</v>
      </c>
      <c r="G15" s="68">
        <f>NOMINAL(G13,12)</f>
        <v>0.26009564715560973</v>
      </c>
      <c r="H15" s="18"/>
      <c r="I15" s="18"/>
      <c r="J15" s="39">
        <f t="shared" ref="J15" si="12">+J42</f>
        <v>42450</v>
      </c>
      <c r="K15" s="62">
        <f t="shared" si="4"/>
        <v>28</v>
      </c>
      <c r="L15" s="40">
        <f t="shared" si="0"/>
        <v>0.64</v>
      </c>
      <c r="M15" s="66">
        <f t="shared" si="5"/>
        <v>0.26</v>
      </c>
      <c r="N15" s="40">
        <f t="shared" si="1"/>
        <v>8.6666666666666684E-2</v>
      </c>
      <c r="O15" s="41">
        <f t="shared" si="2"/>
        <v>1.4493515981735159E-2</v>
      </c>
      <c r="P15" s="63">
        <f t="shared" si="6"/>
        <v>0.10116018264840185</v>
      </c>
      <c r="Q15" s="64">
        <f t="shared" si="7"/>
        <v>6500000.0000000009</v>
      </c>
      <c r="R15" s="65">
        <f t="shared" si="8"/>
        <v>1087013.6986301369</v>
      </c>
      <c r="S15" s="42">
        <f t="shared" si="9"/>
        <v>7587013.6986301374</v>
      </c>
      <c r="T15" s="18"/>
      <c r="Y15" s="130"/>
    </row>
    <row r="16" spans="2:25">
      <c r="B16" s="18"/>
      <c r="C16" s="22" t="s">
        <v>12</v>
      </c>
      <c r="D16" s="145">
        <v>42317</v>
      </c>
      <c r="E16" s="18"/>
      <c r="F16" s="24"/>
      <c r="G16" s="24"/>
      <c r="H16" s="18"/>
      <c r="I16" s="18"/>
      <c r="J16" s="39">
        <f t="shared" ref="J16" si="13">+J43</f>
        <v>42480</v>
      </c>
      <c r="K16" s="62">
        <f t="shared" si="4"/>
        <v>30</v>
      </c>
      <c r="L16" s="40">
        <f t="shared" si="0"/>
        <v>0.55333333333333323</v>
      </c>
      <c r="M16" s="66">
        <f t="shared" si="5"/>
        <v>0.26</v>
      </c>
      <c r="N16" s="40">
        <f t="shared" si="1"/>
        <v>8.6666666666666684E-2</v>
      </c>
      <c r="O16" s="41">
        <f t="shared" si="2"/>
        <v>1.3676712328767122E-2</v>
      </c>
      <c r="P16" s="63">
        <f t="shared" si="6"/>
        <v>0.1003433789954338</v>
      </c>
      <c r="Q16" s="64">
        <f t="shared" si="7"/>
        <v>6500000.0000000009</v>
      </c>
      <c r="R16" s="65">
        <f t="shared" si="8"/>
        <v>1025753.4246575341</v>
      </c>
      <c r="S16" s="42">
        <f t="shared" si="9"/>
        <v>7525753.4246575348</v>
      </c>
      <c r="T16" s="18"/>
      <c r="Y16" s="130"/>
    </row>
    <row r="17" spans="2:25">
      <c r="B17" s="18"/>
      <c r="C17" s="26" t="s">
        <v>13</v>
      </c>
      <c r="D17" s="146">
        <v>5.8956057276228639</v>
      </c>
      <c r="E17" s="18"/>
      <c r="F17" s="10" t="s">
        <v>11</v>
      </c>
      <c r="G17" s="25">
        <v>1</v>
      </c>
      <c r="H17" s="18"/>
      <c r="I17" s="18"/>
      <c r="J17" s="39">
        <f t="shared" ref="J17" si="14">+J44</f>
        <v>42510</v>
      </c>
      <c r="K17" s="62">
        <f t="shared" si="4"/>
        <v>30</v>
      </c>
      <c r="L17" s="40">
        <f t="shared" si="0"/>
        <v>0.46666666666666656</v>
      </c>
      <c r="M17" s="66">
        <f t="shared" si="5"/>
        <v>0.26</v>
      </c>
      <c r="N17" s="40">
        <f t="shared" si="1"/>
        <v>8.6666666666666684E-2</v>
      </c>
      <c r="O17" s="41">
        <f t="shared" si="2"/>
        <v>1.1824657534246575E-2</v>
      </c>
      <c r="P17" s="63">
        <f t="shared" si="6"/>
        <v>9.8491324200913263E-2</v>
      </c>
      <c r="Q17" s="64">
        <f t="shared" si="7"/>
        <v>6500000.0000000009</v>
      </c>
      <c r="R17" s="65">
        <f t="shared" si="8"/>
        <v>886849.31506849313</v>
      </c>
      <c r="S17" s="42">
        <f t="shared" si="9"/>
        <v>7386849.3150684945</v>
      </c>
      <c r="T17" s="18"/>
      <c r="Y17" s="130"/>
    </row>
    <row r="18" spans="2:25">
      <c r="B18" s="18"/>
      <c r="C18" s="26" t="s">
        <v>14</v>
      </c>
      <c r="D18" s="147" t="s">
        <v>64</v>
      </c>
      <c r="E18" s="18"/>
      <c r="F18" s="24"/>
      <c r="G18" s="24"/>
      <c r="H18" s="18"/>
      <c r="I18" s="18"/>
      <c r="J18" s="39">
        <f t="shared" ref="J18" si="15">+J45</f>
        <v>42541</v>
      </c>
      <c r="K18" s="62">
        <f t="shared" si="4"/>
        <v>31</v>
      </c>
      <c r="L18" s="40">
        <f t="shared" si="0"/>
        <v>0.37333333333333324</v>
      </c>
      <c r="M18" s="66">
        <f t="shared" si="5"/>
        <v>0.26</v>
      </c>
      <c r="N18" s="40">
        <f t="shared" si="1"/>
        <v>9.3333333333333338E-2</v>
      </c>
      <c r="O18" s="41">
        <f t="shared" si="2"/>
        <v>1.0305022831050231E-2</v>
      </c>
      <c r="P18" s="63">
        <f t="shared" si="6"/>
        <v>0.10363835616438356</v>
      </c>
      <c r="Q18" s="64">
        <f t="shared" si="7"/>
        <v>7000000</v>
      </c>
      <c r="R18" s="65">
        <f t="shared" si="8"/>
        <v>772876.71232876729</v>
      </c>
      <c r="S18" s="42">
        <f t="shared" si="9"/>
        <v>7772876.7123287674</v>
      </c>
      <c r="T18" s="18"/>
      <c r="Y18" s="130"/>
    </row>
    <row r="19" spans="2:25">
      <c r="B19" s="18"/>
      <c r="C19" s="29" t="s">
        <v>15</v>
      </c>
      <c r="D19" s="30" t="s">
        <v>52</v>
      </c>
      <c r="E19" s="18"/>
      <c r="F19" s="27" t="s">
        <v>19</v>
      </c>
      <c r="G19" s="28">
        <f>+G9*G17</f>
        <v>75000000</v>
      </c>
      <c r="H19" s="18"/>
      <c r="I19" s="18"/>
      <c r="J19" s="39">
        <f t="shared" ref="J19" si="16">+J46</f>
        <v>42571</v>
      </c>
      <c r="K19" s="62">
        <f t="shared" si="4"/>
        <v>30</v>
      </c>
      <c r="L19" s="40">
        <f t="shared" si="0"/>
        <v>0.27999999999999986</v>
      </c>
      <c r="M19" s="66">
        <f t="shared" si="5"/>
        <v>0.26</v>
      </c>
      <c r="N19" s="40">
        <f t="shared" si="1"/>
        <v>9.3333333333333338E-2</v>
      </c>
      <c r="O19" s="41">
        <f t="shared" si="2"/>
        <v>7.9780821917808213E-3</v>
      </c>
      <c r="P19" s="63">
        <f t="shared" si="6"/>
        <v>0.10131141552511416</v>
      </c>
      <c r="Q19" s="64">
        <f t="shared" si="7"/>
        <v>7000000</v>
      </c>
      <c r="R19" s="65">
        <f t="shared" si="8"/>
        <v>598356.16438356158</v>
      </c>
      <c r="S19" s="42">
        <f t="shared" si="9"/>
        <v>7598356.1643835614</v>
      </c>
      <c r="T19" s="18"/>
      <c r="Y19" s="130"/>
    </row>
    <row r="20" spans="2:25" ht="12" customHeight="1">
      <c r="B20" s="18"/>
      <c r="C20" s="18"/>
      <c r="D20" s="18"/>
      <c r="E20" s="18"/>
      <c r="F20" s="18"/>
      <c r="G20" s="18"/>
      <c r="H20" s="18"/>
      <c r="I20" s="18"/>
      <c r="J20" s="39">
        <f t="shared" ref="J20" si="17">+J47</f>
        <v>42604</v>
      </c>
      <c r="K20" s="62">
        <f t="shared" si="4"/>
        <v>33</v>
      </c>
      <c r="L20" s="40">
        <f t="shared" si="0"/>
        <v>0.18666666666666651</v>
      </c>
      <c r="M20" s="66">
        <f t="shared" si="5"/>
        <v>0.26</v>
      </c>
      <c r="N20" s="40">
        <f t="shared" si="1"/>
        <v>9.3333333333333338E-2</v>
      </c>
      <c r="O20" s="41">
        <f t="shared" si="2"/>
        <v>6.5819178082191778E-3</v>
      </c>
      <c r="P20" s="63">
        <f t="shared" si="6"/>
        <v>9.9915251141552516E-2</v>
      </c>
      <c r="Q20" s="64">
        <f t="shared" si="7"/>
        <v>7000000</v>
      </c>
      <c r="R20" s="65">
        <f t="shared" si="8"/>
        <v>493643.83561643836</v>
      </c>
      <c r="S20" s="42">
        <f t="shared" si="9"/>
        <v>7493643.8356164386</v>
      </c>
      <c r="T20" s="18"/>
      <c r="Y20" s="130"/>
    </row>
    <row r="21" spans="2:25" ht="12.75" customHeight="1">
      <c r="I21" s="18"/>
      <c r="J21" s="39">
        <f t="shared" ref="J21" si="18">+J48</f>
        <v>42633</v>
      </c>
      <c r="K21" s="62">
        <f t="shared" si="4"/>
        <v>29</v>
      </c>
      <c r="L21" s="40">
        <f t="shared" si="0"/>
        <v>9.3333333333333157E-2</v>
      </c>
      <c r="M21" s="66">
        <f t="shared" si="5"/>
        <v>0.26</v>
      </c>
      <c r="N21" s="40">
        <f t="shared" si="1"/>
        <v>9.3333333333333338E-2</v>
      </c>
      <c r="O21" s="41">
        <f t="shared" si="2"/>
        <v>3.8560730593607301E-3</v>
      </c>
      <c r="P21" s="63">
        <f t="shared" si="6"/>
        <v>9.7189406392694064E-2</v>
      </c>
      <c r="Q21" s="64">
        <f t="shared" si="7"/>
        <v>7000000</v>
      </c>
      <c r="R21" s="65">
        <f t="shared" si="8"/>
        <v>289205.47945205477</v>
      </c>
      <c r="S21" s="42">
        <f t="shared" si="9"/>
        <v>7289205.4794520549</v>
      </c>
      <c r="T21" s="18"/>
      <c r="Y21" s="130"/>
    </row>
    <row r="22" spans="2:25" ht="14.25" thickBot="1">
      <c r="C22" s="165" t="s">
        <v>65</v>
      </c>
      <c r="D22" s="165"/>
      <c r="E22" s="165"/>
      <c r="F22" s="165"/>
      <c r="G22" s="165"/>
      <c r="I22" s="18"/>
      <c r="J22" s="39">
        <f t="shared" ref="J22:K22" si="19">+J49</f>
        <v>42663</v>
      </c>
      <c r="K22" s="62">
        <f t="shared" si="19"/>
        <v>30</v>
      </c>
      <c r="L22" s="40">
        <f t="shared" si="0"/>
        <v>-1.7763568394002506E-16</v>
      </c>
      <c r="M22" s="66">
        <f t="shared" si="5"/>
        <v>0.26</v>
      </c>
      <c r="N22" s="40">
        <f t="shared" si="1"/>
        <v>9.3333333333333338E-2</v>
      </c>
      <c r="O22" s="41">
        <f t="shared" si="2"/>
        <v>1.9945205479452053E-3</v>
      </c>
      <c r="P22" s="63">
        <f t="shared" si="6"/>
        <v>9.532785388127854E-2</v>
      </c>
      <c r="Q22" s="64">
        <f t="shared" si="7"/>
        <v>7000000</v>
      </c>
      <c r="R22" s="65">
        <f>+O22*$G$19</f>
        <v>149589.0410958904</v>
      </c>
      <c r="S22" s="42">
        <f>SUM(Q22:R22)</f>
        <v>7149589.0410958901</v>
      </c>
      <c r="T22" s="18"/>
      <c r="Y22" s="130"/>
    </row>
    <row r="23" spans="2:25" ht="14.25" thickBot="1">
      <c r="C23" s="165"/>
      <c r="D23" s="165"/>
      <c r="E23" s="165"/>
      <c r="F23" s="165"/>
      <c r="G23" s="165"/>
      <c r="I23" s="18"/>
      <c r="J23" s="33" t="s">
        <v>5</v>
      </c>
      <c r="K23" s="69"/>
      <c r="L23" s="70"/>
      <c r="M23" s="71"/>
      <c r="N23" s="43">
        <f>SUM(N9:N22)</f>
        <v>1.0000000000000002</v>
      </c>
      <c r="O23" s="44">
        <f>SUM(O9:O22)</f>
        <v>0.13765990867579908</v>
      </c>
      <c r="P23" s="71"/>
      <c r="Q23" s="72">
        <f>SUM(Q11:Q22)</f>
        <v>75000000</v>
      </c>
      <c r="R23" s="73">
        <f>SUM(R11:R22)</f>
        <v>10324493.150684932</v>
      </c>
      <c r="S23" s="45">
        <f>SUM(S11:S22)</f>
        <v>85324493.150684953</v>
      </c>
      <c r="T23" s="18"/>
    </row>
    <row r="24" spans="2:25">
      <c r="C24" s="165"/>
      <c r="D24" s="165"/>
      <c r="E24" s="165"/>
      <c r="F24" s="165"/>
      <c r="G24" s="165"/>
      <c r="I24" s="18"/>
      <c r="J24" s="18"/>
      <c r="K24" s="18"/>
      <c r="L24" s="3"/>
      <c r="M24" s="3"/>
      <c r="N24" s="3"/>
      <c r="O24" s="18"/>
      <c r="P24" s="18"/>
      <c r="Q24" s="18"/>
      <c r="R24" s="18"/>
      <c r="S24" s="18"/>
      <c r="T24" s="18"/>
    </row>
    <row r="25" spans="2:25" ht="13.5" customHeight="1">
      <c r="C25" s="165"/>
      <c r="D25" s="165"/>
      <c r="E25" s="165"/>
      <c r="F25" s="165"/>
      <c r="G25" s="165"/>
      <c r="J25" s="46"/>
      <c r="K25" s="46"/>
      <c r="L25" s="46"/>
      <c r="M25" s="46"/>
      <c r="R25" s="32"/>
      <c r="T25" s="17"/>
    </row>
    <row r="26" spans="2:25">
      <c r="C26" s="16" t="s">
        <v>60</v>
      </c>
      <c r="J26" s="46"/>
      <c r="K26" s="46"/>
      <c r="L26" s="46"/>
      <c r="M26" s="46"/>
      <c r="R26" s="32"/>
      <c r="T26" s="17"/>
    </row>
    <row r="27" spans="2:25">
      <c r="C27" s="16" t="s">
        <v>17</v>
      </c>
      <c r="J27" s="46"/>
      <c r="K27" s="46"/>
      <c r="L27" s="46"/>
      <c r="M27" s="46"/>
      <c r="R27" s="32"/>
      <c r="T27" s="17"/>
    </row>
    <row r="28" spans="2:25">
      <c r="C28" s="12" t="s">
        <v>61</v>
      </c>
      <c r="J28" s="46"/>
      <c r="K28" s="46"/>
      <c r="L28" s="46"/>
      <c r="M28" s="46"/>
      <c r="R28" s="32"/>
      <c r="T28" s="17"/>
    </row>
    <row r="29" spans="2:25" ht="14.25" thickBot="1">
      <c r="C29" s="12"/>
      <c r="J29" s="46"/>
      <c r="K29" s="46"/>
      <c r="L29" s="46"/>
      <c r="M29" s="46"/>
      <c r="R29" s="32"/>
      <c r="T29" s="17"/>
    </row>
    <row r="30" spans="2:25">
      <c r="C30" s="151" t="s">
        <v>57</v>
      </c>
      <c r="D30" s="152"/>
      <c r="E30" s="152"/>
      <c r="F30" s="152"/>
      <c r="G30" s="153"/>
      <c r="J30" s="46"/>
      <c r="K30" s="46"/>
      <c r="L30" s="46"/>
      <c r="M30" s="46"/>
      <c r="R30" s="32"/>
      <c r="T30" s="17"/>
    </row>
    <row r="31" spans="2:25">
      <c r="C31" s="154"/>
      <c r="D31" s="155"/>
      <c r="E31" s="155"/>
      <c r="F31" s="155"/>
      <c r="G31" s="156"/>
      <c r="J31" s="46"/>
      <c r="K31" s="46"/>
      <c r="L31" s="46"/>
      <c r="M31" s="46"/>
      <c r="R31" s="32"/>
      <c r="T31" s="17"/>
    </row>
    <row r="32" spans="2:25" ht="14.25" thickBot="1">
      <c r="C32" s="157"/>
      <c r="D32" s="158"/>
      <c r="E32" s="158"/>
      <c r="F32" s="158"/>
      <c r="G32" s="159"/>
      <c r="J32" s="46"/>
      <c r="K32" s="46"/>
      <c r="L32" s="46"/>
      <c r="M32" s="46"/>
      <c r="R32" s="32"/>
      <c r="T32" s="17"/>
    </row>
    <row r="33" spans="3:21" ht="14.25" thickBot="1">
      <c r="J33" s="46"/>
      <c r="K33" s="46"/>
      <c r="L33" s="46"/>
      <c r="M33" s="46"/>
      <c r="R33" s="32"/>
      <c r="T33" s="17"/>
    </row>
    <row r="34" spans="3:21" ht="111.75" customHeight="1" thickTop="1" thickBot="1">
      <c r="C34" s="148" t="s">
        <v>24</v>
      </c>
      <c r="D34" s="149"/>
      <c r="E34" s="149"/>
      <c r="F34" s="149"/>
      <c r="G34" s="149"/>
      <c r="H34" s="149"/>
      <c r="I34" s="149"/>
      <c r="J34" s="149"/>
      <c r="K34" s="149"/>
      <c r="L34" s="149"/>
      <c r="M34" s="149"/>
      <c r="N34" s="149"/>
      <c r="O34" s="149"/>
      <c r="P34" s="149"/>
      <c r="Q34" s="149"/>
      <c r="R34" s="149"/>
      <c r="S34" s="149"/>
      <c r="T34" s="150"/>
    </row>
    <row r="35" spans="3:21" ht="14.25" thickTop="1">
      <c r="J35" s="7"/>
      <c r="K35" s="7"/>
      <c r="L35" s="7"/>
      <c r="M35" s="7"/>
      <c r="T35" s="74"/>
      <c r="U35" s="17"/>
    </row>
    <row r="36" spans="3:21" ht="14.25" hidden="1" thickBot="1">
      <c r="J36" s="47" t="s">
        <v>2</v>
      </c>
      <c r="K36" s="48" t="s">
        <v>26</v>
      </c>
      <c r="L36" s="48" t="s">
        <v>29</v>
      </c>
      <c r="M36" s="48" t="s">
        <v>4</v>
      </c>
      <c r="N36" s="48" t="s">
        <v>3</v>
      </c>
      <c r="O36" s="48" t="s">
        <v>30</v>
      </c>
      <c r="P36" s="75" t="s">
        <v>27</v>
      </c>
      <c r="Q36" s="49" t="s">
        <v>31</v>
      </c>
      <c r="R36" s="76"/>
      <c r="T36" s="74"/>
      <c r="U36" s="17"/>
    </row>
    <row r="37" spans="3:21" hidden="1">
      <c r="J37" s="50">
        <f>+D16</f>
        <v>42317</v>
      </c>
      <c r="K37" s="77"/>
      <c r="L37" s="78">
        <f>+D9</f>
        <v>75000000</v>
      </c>
      <c r="M37" s="51"/>
      <c r="N37" s="52"/>
      <c r="O37" s="77"/>
      <c r="P37" s="79">
        <v>100</v>
      </c>
      <c r="Q37" s="80"/>
      <c r="R37" s="81"/>
      <c r="T37" s="74"/>
      <c r="U37" s="17"/>
    </row>
    <row r="38" spans="3:21" hidden="1">
      <c r="J38" s="96">
        <v>42328</v>
      </c>
      <c r="K38" s="82">
        <f>+J38-J37</f>
        <v>11</v>
      </c>
      <c r="L38" s="83">
        <f>L37-M38</f>
        <v>71000000</v>
      </c>
      <c r="M38" s="99">
        <v>4000000</v>
      </c>
      <c r="N38" s="53">
        <f t="shared" ref="N38:N49" si="20">+M11/365*K38*L37</f>
        <v>587671.23287671234</v>
      </c>
      <c r="O38" s="84">
        <f t="shared" ref="O38:O49" si="21">+M38/$L$37*100</f>
        <v>5.3333333333333339</v>
      </c>
      <c r="P38" s="85">
        <f>P37-O38</f>
        <v>94.666666666666671</v>
      </c>
      <c r="Q38" s="86">
        <f t="shared" ref="Q38:Q49" si="22">+N38/$L$37*100</f>
        <v>0.78356164383561644</v>
      </c>
      <c r="R38" s="101">
        <v>1183562</v>
      </c>
      <c r="S38" s="87">
        <f>+R38-N38</f>
        <v>595890.76712328766</v>
      </c>
      <c r="T38" s="74"/>
      <c r="U38" s="17"/>
    </row>
    <row r="39" spans="3:21" hidden="1">
      <c r="J39" s="96">
        <v>42359</v>
      </c>
      <c r="K39" s="82">
        <f t="shared" ref="K39:K49" si="23">+J39-J38</f>
        <v>31</v>
      </c>
      <c r="L39" s="83">
        <f t="shared" ref="L39:L49" si="24">L38-M39</f>
        <v>67000000</v>
      </c>
      <c r="M39" s="99">
        <v>4000000</v>
      </c>
      <c r="N39" s="53">
        <f t="shared" si="20"/>
        <v>1567835.6164383562</v>
      </c>
      <c r="O39" s="84">
        <f t="shared" si="21"/>
        <v>5.3333333333333339</v>
      </c>
      <c r="P39" s="85">
        <f t="shared" ref="P39:P49" si="25">P38-O39</f>
        <v>89.333333333333343</v>
      </c>
      <c r="Q39" s="86">
        <f t="shared" si="22"/>
        <v>2.0904474885844753</v>
      </c>
      <c r="R39" s="101">
        <v>1307178</v>
      </c>
      <c r="S39" s="87">
        <f>+R39-N39</f>
        <v>-260657.61643835623</v>
      </c>
      <c r="T39" s="74"/>
      <c r="U39" s="17"/>
    </row>
    <row r="40" spans="3:21" hidden="1">
      <c r="J40" s="96">
        <v>42389</v>
      </c>
      <c r="K40" s="82">
        <f t="shared" si="23"/>
        <v>30</v>
      </c>
      <c r="L40" s="83">
        <f t="shared" si="24"/>
        <v>61000000</v>
      </c>
      <c r="M40" s="99">
        <v>6000000</v>
      </c>
      <c r="N40" s="53">
        <f t="shared" si="20"/>
        <v>1431780.8219178081</v>
      </c>
      <c r="O40" s="84">
        <f t="shared" si="21"/>
        <v>8</v>
      </c>
      <c r="P40" s="85">
        <f t="shared" si="25"/>
        <v>81.333333333333343</v>
      </c>
      <c r="Q40" s="86">
        <f t="shared" si="22"/>
        <v>1.9090410958904107</v>
      </c>
      <c r="R40" s="101">
        <v>1365699</v>
      </c>
      <c r="S40" s="87">
        <f t="shared" ref="S40:S49" si="26">+R40-N40</f>
        <v>-66081.821917808149</v>
      </c>
      <c r="T40" s="74"/>
      <c r="U40" s="17"/>
    </row>
    <row r="41" spans="3:21" hidden="1">
      <c r="J41" s="96">
        <v>42422</v>
      </c>
      <c r="K41" s="82">
        <f t="shared" si="23"/>
        <v>33</v>
      </c>
      <c r="L41" s="83">
        <f t="shared" si="24"/>
        <v>54500000</v>
      </c>
      <c r="M41" s="99">
        <v>6500000</v>
      </c>
      <c r="N41" s="53">
        <f t="shared" si="20"/>
        <v>1433917.8082191781</v>
      </c>
      <c r="O41" s="84">
        <f t="shared" si="21"/>
        <v>8.6666666666666679</v>
      </c>
      <c r="P41" s="85">
        <f t="shared" si="25"/>
        <v>72.666666666666671</v>
      </c>
      <c r="Q41" s="86">
        <f t="shared" si="22"/>
        <v>1.9118904109589041</v>
      </c>
      <c r="R41" s="101">
        <v>1203288</v>
      </c>
      <c r="S41" s="87">
        <f t="shared" si="26"/>
        <v>-230629.80821917811</v>
      </c>
      <c r="T41" s="74"/>
      <c r="U41" s="17"/>
    </row>
    <row r="42" spans="3:21" hidden="1">
      <c r="J42" s="96">
        <v>42450</v>
      </c>
      <c r="K42" s="82">
        <f t="shared" si="23"/>
        <v>28</v>
      </c>
      <c r="L42" s="83">
        <f t="shared" si="24"/>
        <v>48000000</v>
      </c>
      <c r="M42" s="99">
        <v>6500000</v>
      </c>
      <c r="N42" s="53">
        <f t="shared" si="20"/>
        <v>1087013.6986301369</v>
      </c>
      <c r="O42" s="84">
        <f t="shared" si="21"/>
        <v>8.6666666666666679</v>
      </c>
      <c r="P42" s="85">
        <f t="shared" si="25"/>
        <v>64</v>
      </c>
      <c r="Q42" s="86">
        <f t="shared" si="22"/>
        <v>1.4493515981735159</v>
      </c>
      <c r="R42" s="101">
        <v>1182575</v>
      </c>
      <c r="S42" s="87">
        <f t="shared" si="26"/>
        <v>95561.301369863097</v>
      </c>
      <c r="T42" s="74"/>
      <c r="U42" s="17"/>
    </row>
    <row r="43" spans="3:21" hidden="1">
      <c r="J43" s="96">
        <v>42480</v>
      </c>
      <c r="K43" s="82">
        <f t="shared" si="23"/>
        <v>30</v>
      </c>
      <c r="L43" s="83">
        <f t="shared" si="24"/>
        <v>41500000</v>
      </c>
      <c r="M43" s="99">
        <v>6500000</v>
      </c>
      <c r="N43" s="53">
        <f t="shared" si="20"/>
        <v>1025753.4246575341</v>
      </c>
      <c r="O43" s="84">
        <f t="shared" si="21"/>
        <v>8.6666666666666679</v>
      </c>
      <c r="P43" s="85">
        <f t="shared" si="25"/>
        <v>55.333333333333329</v>
      </c>
      <c r="Q43" s="86">
        <f t="shared" si="22"/>
        <v>1.3676712328767122</v>
      </c>
      <c r="R43" s="101">
        <v>883726</v>
      </c>
      <c r="S43" s="87">
        <f t="shared" si="26"/>
        <v>-142027.42465753411</v>
      </c>
      <c r="T43" s="74"/>
      <c r="U43" s="17"/>
    </row>
    <row r="44" spans="3:21" hidden="1">
      <c r="J44" s="96">
        <v>42510</v>
      </c>
      <c r="K44" s="82">
        <f t="shared" si="23"/>
        <v>30</v>
      </c>
      <c r="L44" s="83">
        <f t="shared" si="24"/>
        <v>35000000</v>
      </c>
      <c r="M44" s="99">
        <v>6500000</v>
      </c>
      <c r="N44" s="53">
        <f t="shared" si="20"/>
        <v>886849.31506849313</v>
      </c>
      <c r="O44" s="84">
        <f t="shared" si="21"/>
        <v>8.6666666666666679</v>
      </c>
      <c r="P44" s="85">
        <f t="shared" si="25"/>
        <v>46.666666666666657</v>
      </c>
      <c r="Q44" s="86">
        <f t="shared" si="22"/>
        <v>1.1824657534246574</v>
      </c>
      <c r="R44" s="101">
        <v>845918</v>
      </c>
      <c r="S44" s="87">
        <f t="shared" si="26"/>
        <v>-40931.315068493132</v>
      </c>
      <c r="T44" s="74"/>
      <c r="U44" s="17"/>
    </row>
    <row r="45" spans="3:21" hidden="1">
      <c r="J45" s="96">
        <v>42541</v>
      </c>
      <c r="K45" s="82">
        <f t="shared" si="23"/>
        <v>31</v>
      </c>
      <c r="L45" s="83">
        <f t="shared" si="24"/>
        <v>28000000</v>
      </c>
      <c r="M45" s="99">
        <v>7000000</v>
      </c>
      <c r="N45" s="53">
        <f t="shared" si="20"/>
        <v>772876.71232876717</v>
      </c>
      <c r="O45" s="84">
        <f t="shared" si="21"/>
        <v>9.3333333333333339</v>
      </c>
      <c r="P45" s="85">
        <f t="shared" si="25"/>
        <v>37.333333333333321</v>
      </c>
      <c r="Q45" s="86">
        <f t="shared" si="22"/>
        <v>1.030502283105023</v>
      </c>
      <c r="R45" s="101">
        <v>736438</v>
      </c>
      <c r="S45" s="87">
        <f t="shared" si="26"/>
        <v>-36438.712328767171</v>
      </c>
      <c r="T45" s="74"/>
      <c r="U45" s="17"/>
    </row>
    <row r="46" spans="3:21" hidden="1">
      <c r="J46" s="96">
        <v>42571</v>
      </c>
      <c r="K46" s="82">
        <f t="shared" si="23"/>
        <v>30</v>
      </c>
      <c r="L46" s="83">
        <f t="shared" si="24"/>
        <v>21000000</v>
      </c>
      <c r="M46" s="99">
        <v>7000000</v>
      </c>
      <c r="N46" s="53">
        <f t="shared" si="20"/>
        <v>598356.16438356158</v>
      </c>
      <c r="O46" s="84">
        <f t="shared" si="21"/>
        <v>9.3333333333333339</v>
      </c>
      <c r="P46" s="85">
        <f t="shared" si="25"/>
        <v>27.999999999999986</v>
      </c>
      <c r="Q46" s="86">
        <f t="shared" si="22"/>
        <v>0.79780821917808209</v>
      </c>
      <c r="R46" s="101">
        <v>533918</v>
      </c>
      <c r="S46" s="87">
        <f t="shared" si="26"/>
        <v>-64438.164383561583</v>
      </c>
      <c r="T46" s="74"/>
      <c r="U46" s="17"/>
    </row>
    <row r="47" spans="3:21" hidden="1">
      <c r="J47" s="96">
        <v>42604</v>
      </c>
      <c r="K47" s="82">
        <f t="shared" si="23"/>
        <v>33</v>
      </c>
      <c r="L47" s="83">
        <f t="shared" si="24"/>
        <v>14000000</v>
      </c>
      <c r="M47" s="99">
        <v>7000000</v>
      </c>
      <c r="N47" s="53">
        <f t="shared" si="20"/>
        <v>493643.83561643836</v>
      </c>
      <c r="O47" s="84">
        <f t="shared" si="21"/>
        <v>9.3333333333333339</v>
      </c>
      <c r="P47" s="85">
        <f t="shared" si="25"/>
        <v>18.66666666666665</v>
      </c>
      <c r="Q47" s="86">
        <f t="shared" si="22"/>
        <v>0.65819178082191776</v>
      </c>
      <c r="R47" s="101">
        <v>428055</v>
      </c>
      <c r="S47" s="87">
        <f t="shared" si="26"/>
        <v>-65588.835616438359</v>
      </c>
      <c r="T47" s="74"/>
      <c r="U47" s="17"/>
    </row>
    <row r="48" spans="3:21" hidden="1">
      <c r="J48" s="96">
        <v>42633</v>
      </c>
      <c r="K48" s="82">
        <f t="shared" si="23"/>
        <v>29</v>
      </c>
      <c r="L48" s="83">
        <f t="shared" si="24"/>
        <v>7000000</v>
      </c>
      <c r="M48" s="99">
        <v>7000000</v>
      </c>
      <c r="N48" s="53">
        <f t="shared" si="20"/>
        <v>289205.47945205477</v>
      </c>
      <c r="O48" s="84">
        <f t="shared" si="21"/>
        <v>9.3333333333333339</v>
      </c>
      <c r="P48" s="85">
        <f t="shared" si="25"/>
        <v>9.3333333333333162</v>
      </c>
      <c r="Q48" s="86">
        <f t="shared" si="22"/>
        <v>0.38560730593607301</v>
      </c>
      <c r="R48" s="101">
        <v>285370</v>
      </c>
      <c r="S48" s="87">
        <f t="shared" si="26"/>
        <v>-3835.479452054773</v>
      </c>
      <c r="T48" s="74"/>
      <c r="U48" s="17"/>
    </row>
    <row r="49" spans="10:21" hidden="1">
      <c r="J49" s="96">
        <v>42663</v>
      </c>
      <c r="K49" s="82">
        <f t="shared" si="23"/>
        <v>30</v>
      </c>
      <c r="L49" s="83">
        <f t="shared" si="24"/>
        <v>0</v>
      </c>
      <c r="M49" s="99">
        <v>7000000</v>
      </c>
      <c r="N49" s="53">
        <f t="shared" si="20"/>
        <v>149589.0410958904</v>
      </c>
      <c r="O49" s="84">
        <f t="shared" si="21"/>
        <v>9.3333333333333339</v>
      </c>
      <c r="P49" s="85">
        <f t="shared" si="25"/>
        <v>-1.7763568394002505E-14</v>
      </c>
      <c r="Q49" s="86">
        <f t="shared" si="22"/>
        <v>0.19945205479452052</v>
      </c>
      <c r="R49" s="101">
        <v>138082</v>
      </c>
      <c r="S49" s="87">
        <f t="shared" si="26"/>
        <v>-11507.041095890396</v>
      </c>
      <c r="T49" s="74"/>
      <c r="U49" s="17"/>
    </row>
    <row r="50" spans="10:21" hidden="1">
      <c r="J50" s="97"/>
      <c r="K50" s="82"/>
      <c r="L50" s="83"/>
      <c r="M50" s="100"/>
      <c r="N50" s="53"/>
      <c r="O50" s="84"/>
      <c r="P50" s="85"/>
      <c r="Q50" s="86"/>
      <c r="R50" s="103"/>
      <c r="S50" s="87"/>
    </row>
    <row r="51" spans="10:21" ht="14.25" hidden="1" thickBot="1">
      <c r="J51" s="54"/>
      <c r="K51" s="88">
        <f>SUM(K38:K50)</f>
        <v>346</v>
      </c>
      <c r="L51" s="89"/>
      <c r="M51" s="94"/>
      <c r="N51" s="95">
        <f>+SUM(N38:N50)</f>
        <v>10324493.150684932</v>
      </c>
      <c r="O51" s="90">
        <f>SUM(O38:O50)</f>
        <v>100</v>
      </c>
    </row>
    <row r="52" spans="10:21" hidden="1"/>
    <row r="53" spans="10:21" hidden="1">
      <c r="J53" s="98"/>
      <c r="K53" s="16" t="s">
        <v>33</v>
      </c>
      <c r="N53" s="138">
        <f>+N51/L37</f>
        <v>0.13765990867579911</v>
      </c>
    </row>
    <row r="54" spans="10:21" hidden="1">
      <c r="N54" s="143">
        <f>+N53-O23</f>
        <v>0</v>
      </c>
    </row>
    <row r="55" spans="10:21">
      <c r="N55" s="130"/>
    </row>
  </sheetData>
  <sheetProtection password="CF7A" sheet="1" objects="1" scenarios="1" selectLockedCells="1"/>
  <mergeCells count="8">
    <mergeCell ref="C34:T34"/>
    <mergeCell ref="C30:G32"/>
    <mergeCell ref="B2:T2"/>
    <mergeCell ref="B3:T3"/>
    <mergeCell ref="C7:D7"/>
    <mergeCell ref="F7:G7"/>
    <mergeCell ref="J7:S7"/>
    <mergeCell ref="C22:G25"/>
  </mergeCells>
  <phoneticPr fontId="3" type="noConversion"/>
  <printOptions horizontalCentered="1"/>
  <pageMargins left="0.78740157480314965" right="0.78740157480314965" top="0.98425196850393704" bottom="0.98425196850393704" header="0.39370078740157483" footer="0.39370078740157483"/>
  <pageSetup paperSize="9" scale="64" orientation="landscape" r:id="rId1"/>
  <headerFooter alignWithMargins="0"/>
  <ignoredErrors>
    <ignoredError sqref="I9" evalError="1"/>
  </ignoredErrors>
  <drawing r:id="rId2"/>
  <legacyDrawingHF r:id="rId3"/>
</worksheet>
</file>

<file path=xl/worksheets/sheet2.xml><?xml version="1.0" encoding="utf-8"?>
<worksheet xmlns="http://schemas.openxmlformats.org/spreadsheetml/2006/main" xmlns:r="http://schemas.openxmlformats.org/officeDocument/2006/relationships">
  <sheetPr>
    <pageSetUpPr fitToPage="1"/>
  </sheetPr>
  <dimension ref="B1:Y59"/>
  <sheetViews>
    <sheetView zoomScale="80" zoomScaleNormal="80" zoomScaleSheetLayoutView="87" workbookViewId="0">
      <selection activeCell="G9" sqref="G9"/>
    </sheetView>
  </sheetViews>
  <sheetFormatPr baseColWidth="10" defaultColWidth="9.140625" defaultRowHeight="13.5"/>
  <cols>
    <col min="1" max="1" width="1.7109375" style="16" customWidth="1"/>
    <col min="2" max="2" width="3.7109375" style="16" customWidth="1"/>
    <col min="3" max="3" width="25.5703125" style="16" customWidth="1"/>
    <col min="4" max="4" width="22.28515625" style="16" bestFit="1" customWidth="1"/>
    <col min="5" max="5" width="3.7109375" style="16" customWidth="1"/>
    <col min="6" max="6" width="28.140625" style="16" customWidth="1"/>
    <col min="7" max="7" width="18.42578125" style="16" bestFit="1" customWidth="1"/>
    <col min="8" max="9" width="2.7109375" style="16" customWidth="1"/>
    <col min="10" max="10" width="16.28515625" style="16" customWidth="1"/>
    <col min="11" max="11" width="5.7109375" style="16" customWidth="1"/>
    <col min="12" max="12" width="14.5703125" style="16" bestFit="1" customWidth="1"/>
    <col min="13" max="13" width="11.85546875" style="16" customWidth="1"/>
    <col min="14" max="14" width="15.42578125" style="16" customWidth="1"/>
    <col min="15" max="15" width="14.28515625" style="16" customWidth="1"/>
    <col min="16" max="16" width="13" style="16" customWidth="1"/>
    <col min="17" max="17" width="15.140625" style="16" bestFit="1" customWidth="1"/>
    <col min="18" max="18" width="12.5703125" style="16" customWidth="1"/>
    <col min="19" max="19" width="12.7109375" style="16" bestFit="1" customWidth="1"/>
    <col min="20" max="20" width="8.140625" style="16" bestFit="1" customWidth="1"/>
    <col min="21" max="21" width="1.7109375" style="16" customWidth="1"/>
    <col min="22" max="16384" width="9.140625" style="16"/>
  </cols>
  <sheetData>
    <row r="1" spans="2:25" s="4" customFormat="1" ht="12.75" customHeight="1">
      <c r="O1" s="5"/>
    </row>
    <row r="2" spans="2:25" s="4" customFormat="1" ht="20.25">
      <c r="B2" s="160" t="s">
        <v>63</v>
      </c>
      <c r="C2" s="160"/>
      <c r="D2" s="160"/>
      <c r="E2" s="160"/>
      <c r="F2" s="160"/>
      <c r="G2" s="160"/>
      <c r="H2" s="160"/>
      <c r="I2" s="160"/>
      <c r="J2" s="160"/>
      <c r="K2" s="160"/>
      <c r="L2" s="160"/>
      <c r="M2" s="160"/>
      <c r="N2" s="160"/>
      <c r="O2" s="160"/>
      <c r="P2" s="160"/>
      <c r="Q2" s="160"/>
      <c r="R2" s="160"/>
      <c r="S2" s="160"/>
      <c r="T2" s="160"/>
    </row>
    <row r="3" spans="2:25" s="4" customFormat="1" ht="18">
      <c r="B3" s="161" t="s">
        <v>59</v>
      </c>
      <c r="C3" s="161"/>
      <c r="D3" s="161"/>
      <c r="E3" s="161"/>
      <c r="F3" s="161"/>
      <c r="G3" s="161"/>
      <c r="H3" s="161"/>
      <c r="I3" s="161"/>
      <c r="J3" s="161"/>
      <c r="K3" s="161"/>
      <c r="L3" s="161"/>
      <c r="M3" s="161"/>
      <c r="N3" s="161"/>
      <c r="O3" s="161"/>
      <c r="P3" s="161"/>
      <c r="Q3" s="161"/>
      <c r="R3" s="161"/>
      <c r="S3" s="161"/>
      <c r="T3" s="161"/>
    </row>
    <row r="4" spans="2:25" s="4" customFormat="1" ht="14.25">
      <c r="D4" s="6"/>
      <c r="E4" s="6"/>
      <c r="P4" s="13"/>
      <c r="Q4" s="13"/>
      <c r="R4" s="13"/>
      <c r="S4" s="15"/>
      <c r="T4" s="14"/>
    </row>
    <row r="5" spans="2:25">
      <c r="B5" s="18"/>
      <c r="C5" s="18"/>
      <c r="D5" s="19"/>
      <c r="E5" s="19"/>
      <c r="F5" s="18"/>
      <c r="G5" s="18"/>
      <c r="H5" s="18"/>
      <c r="I5" s="18"/>
      <c r="J5" s="18"/>
      <c r="K5" s="18"/>
      <c r="L5" s="18"/>
      <c r="M5" s="18"/>
      <c r="N5" s="18"/>
      <c r="O5" s="18"/>
      <c r="P5" s="18"/>
      <c r="Q5" s="18"/>
      <c r="R5" s="18"/>
      <c r="S5" s="18"/>
      <c r="T5" s="18"/>
    </row>
    <row r="6" spans="2:25">
      <c r="B6" s="18"/>
      <c r="C6" s="18"/>
      <c r="D6" s="19"/>
      <c r="E6" s="19"/>
      <c r="F6" s="18"/>
      <c r="G6" s="18"/>
      <c r="H6" s="18"/>
      <c r="I6" s="18"/>
      <c r="J6" s="18"/>
      <c r="K6" s="18"/>
      <c r="L6" s="18"/>
      <c r="M6" s="18"/>
      <c r="N6" s="18"/>
      <c r="O6" s="18"/>
      <c r="P6" s="18"/>
      <c r="Q6" s="18"/>
      <c r="R6" s="18"/>
      <c r="S6" s="18"/>
      <c r="T6" s="18"/>
    </row>
    <row r="7" spans="2:25" ht="18">
      <c r="B7" s="18"/>
      <c r="C7" s="162" t="s">
        <v>53</v>
      </c>
      <c r="D7" s="163"/>
      <c r="E7" s="19"/>
      <c r="F7" s="162" t="s">
        <v>0</v>
      </c>
      <c r="G7" s="163"/>
      <c r="H7" s="18"/>
      <c r="I7" s="18"/>
      <c r="J7" s="162" t="s">
        <v>25</v>
      </c>
      <c r="K7" s="164"/>
      <c r="L7" s="164"/>
      <c r="M7" s="164"/>
      <c r="N7" s="164"/>
      <c r="O7" s="164"/>
      <c r="P7" s="164"/>
      <c r="Q7" s="164"/>
      <c r="R7" s="164"/>
      <c r="S7" s="163"/>
      <c r="T7" s="18"/>
    </row>
    <row r="8" spans="2:25" ht="14.25" thickBot="1">
      <c r="B8" s="18"/>
      <c r="C8" s="18"/>
      <c r="D8" s="19"/>
      <c r="E8" s="19"/>
      <c r="F8" s="18"/>
      <c r="G8" s="18"/>
      <c r="H8" s="18"/>
      <c r="I8" s="18"/>
      <c r="J8" s="1" t="s">
        <v>35</v>
      </c>
      <c r="K8" s="2"/>
      <c r="L8" s="2"/>
      <c r="M8" s="2"/>
      <c r="N8" s="18"/>
      <c r="O8" s="18"/>
      <c r="P8" s="18"/>
      <c r="Q8" s="18"/>
      <c r="R8" s="18"/>
      <c r="S8" s="18"/>
      <c r="T8" s="18"/>
    </row>
    <row r="9" spans="2:25" ht="15" thickBot="1">
      <c r="B9" s="18"/>
      <c r="C9" s="9" t="s">
        <v>1</v>
      </c>
      <c r="D9" s="20">
        <v>15000000</v>
      </c>
      <c r="E9" s="19"/>
      <c r="F9" s="10" t="s">
        <v>18</v>
      </c>
      <c r="G9" s="21">
        <v>15000000</v>
      </c>
      <c r="H9" s="8"/>
      <c r="I9" s="11" t="e">
        <f>+G9/M53</f>
        <v>#DIV/0!</v>
      </c>
      <c r="J9" s="33" t="s">
        <v>2</v>
      </c>
      <c r="K9" s="34" t="s">
        <v>26</v>
      </c>
      <c r="L9" s="33" t="s">
        <v>27</v>
      </c>
      <c r="M9" s="35" t="s">
        <v>28</v>
      </c>
      <c r="N9" s="33" t="s">
        <v>30</v>
      </c>
      <c r="O9" s="36" t="s">
        <v>31</v>
      </c>
      <c r="P9" s="35" t="s">
        <v>32</v>
      </c>
      <c r="Q9" s="37" t="s">
        <v>4</v>
      </c>
      <c r="R9" s="36" t="s">
        <v>3</v>
      </c>
      <c r="S9" s="38" t="s">
        <v>47</v>
      </c>
      <c r="T9" s="18"/>
    </row>
    <row r="10" spans="2:25">
      <c r="B10" s="18"/>
      <c r="C10" s="22" t="s">
        <v>6</v>
      </c>
      <c r="D10" s="23">
        <v>0.15</v>
      </c>
      <c r="E10" s="19"/>
      <c r="F10" s="24"/>
      <c r="G10" s="24"/>
      <c r="H10" s="18"/>
      <c r="I10" s="18"/>
      <c r="J10" s="104">
        <f>+D16</f>
        <v>42317</v>
      </c>
      <c r="K10" s="55"/>
      <c r="L10" s="56"/>
      <c r="M10" s="57"/>
      <c r="N10" s="92"/>
      <c r="O10" s="93"/>
      <c r="P10" s="58">
        <f>-G17</f>
        <v>-1</v>
      </c>
      <c r="Q10" s="59"/>
      <c r="R10" s="60"/>
      <c r="S10" s="105">
        <f>-G9</f>
        <v>-15000000</v>
      </c>
      <c r="T10" s="18"/>
    </row>
    <row r="11" spans="2:25">
      <c r="B11" s="18"/>
      <c r="C11" s="22" t="s">
        <v>22</v>
      </c>
      <c r="D11" s="61" t="s">
        <v>16</v>
      </c>
      <c r="E11" s="19"/>
      <c r="F11" s="10" t="s">
        <v>21</v>
      </c>
      <c r="G11" s="91">
        <v>5.5E-2</v>
      </c>
      <c r="H11" s="18"/>
      <c r="I11" s="18"/>
      <c r="J11" s="39">
        <f>+J38</f>
        <v>42328</v>
      </c>
      <c r="K11" s="62">
        <f>+K38</f>
        <v>0</v>
      </c>
      <c r="L11" s="40">
        <f t="shared" ref="L11:L22" si="0">P38/100</f>
        <v>1</v>
      </c>
      <c r="M11" s="66">
        <f>+IF($D$14&gt;$D$12+$G$11, $D$14, IF($D$15&lt;$D$12+$G$11, $D$15, $D$12+$G$11))</f>
        <v>0.26500000000000001</v>
      </c>
      <c r="N11" s="40">
        <f t="shared" ref="N11:N22" si="1">+O38/100</f>
        <v>0</v>
      </c>
      <c r="O11" s="41">
        <f t="shared" ref="O11:O22" si="2">+Q38/100</f>
        <v>0</v>
      </c>
      <c r="P11" s="63">
        <f>+IF(J11&lt;$D$16, 0, N11+O11)</f>
        <v>0</v>
      </c>
      <c r="Q11" s="64">
        <f>+N11*$G$19</f>
        <v>0</v>
      </c>
      <c r="R11" s="65">
        <f>+O11*$G$19</f>
        <v>0</v>
      </c>
      <c r="S11" s="42">
        <f>SUM(Q11:R11)</f>
        <v>0</v>
      </c>
      <c r="T11" s="18"/>
      <c r="Y11" s="130"/>
    </row>
    <row r="12" spans="2:25">
      <c r="B12" s="18"/>
      <c r="C12" s="22" t="s">
        <v>23</v>
      </c>
      <c r="D12" s="23">
        <v>0.21</v>
      </c>
      <c r="E12" s="19"/>
      <c r="F12" s="24"/>
      <c r="G12" s="24"/>
      <c r="H12" s="18"/>
      <c r="I12" s="18"/>
      <c r="J12" s="39">
        <f t="shared" ref="J12:K22" si="3">+J39</f>
        <v>42359</v>
      </c>
      <c r="K12" s="62">
        <f t="shared" si="3"/>
        <v>0</v>
      </c>
      <c r="L12" s="40">
        <f t="shared" si="0"/>
        <v>1</v>
      </c>
      <c r="M12" s="66">
        <f t="shared" ref="M12:M24" si="4">+IF($D$14&gt;$D$12+$G$11, $D$14, IF($D$15&lt;$D$12+$G$11, $D$15, $D$12+$G$11))</f>
        <v>0.26500000000000001</v>
      </c>
      <c r="N12" s="40">
        <f t="shared" si="1"/>
        <v>0</v>
      </c>
      <c r="O12" s="41">
        <f t="shared" si="2"/>
        <v>0</v>
      </c>
      <c r="P12" s="63">
        <f t="shared" ref="P12:P22" si="5">+IF(J12&lt;$D$16, 0, N12+O12)</f>
        <v>0</v>
      </c>
      <c r="Q12" s="64">
        <f t="shared" ref="Q12:R22" si="6">+N12*$G$19</f>
        <v>0</v>
      </c>
      <c r="R12" s="65">
        <f t="shared" si="6"/>
        <v>0</v>
      </c>
      <c r="S12" s="42">
        <f t="shared" ref="S12:S22" si="7">SUM(Q12:R12)</f>
        <v>0</v>
      </c>
      <c r="T12" s="18"/>
      <c r="Y12" s="130"/>
    </row>
    <row r="13" spans="2:25">
      <c r="B13" s="18"/>
      <c r="C13" s="22" t="s">
        <v>20</v>
      </c>
      <c r="D13" s="23">
        <v>5.5E-2</v>
      </c>
      <c r="E13" s="18"/>
      <c r="F13" s="10" t="s">
        <v>7</v>
      </c>
      <c r="G13" s="67">
        <f>+XIRR(S10:S24,J10:J24,)</f>
        <v>0.26489176154136662</v>
      </c>
      <c r="H13" s="18"/>
      <c r="I13" s="18"/>
      <c r="J13" s="39">
        <f t="shared" si="3"/>
        <v>42389</v>
      </c>
      <c r="K13" s="62">
        <f t="shared" si="3"/>
        <v>0</v>
      </c>
      <c r="L13" s="40">
        <f t="shared" si="0"/>
        <v>1</v>
      </c>
      <c r="M13" s="66">
        <f t="shared" si="4"/>
        <v>0.26500000000000001</v>
      </c>
      <c r="N13" s="40">
        <f t="shared" si="1"/>
        <v>0</v>
      </c>
      <c r="O13" s="41">
        <f t="shared" si="2"/>
        <v>0</v>
      </c>
      <c r="P13" s="63">
        <f t="shared" si="5"/>
        <v>0</v>
      </c>
      <c r="Q13" s="64">
        <f t="shared" si="6"/>
        <v>0</v>
      </c>
      <c r="R13" s="65">
        <f t="shared" si="6"/>
        <v>0</v>
      </c>
      <c r="S13" s="42">
        <f t="shared" si="7"/>
        <v>0</v>
      </c>
      <c r="T13" s="18"/>
      <c r="Y13" s="130"/>
    </row>
    <row r="14" spans="2:25">
      <c r="B14" s="18"/>
      <c r="C14" s="22" t="s">
        <v>9</v>
      </c>
      <c r="D14" s="23">
        <v>0.21</v>
      </c>
      <c r="E14" s="18"/>
      <c r="F14" s="24"/>
      <c r="G14" s="24"/>
      <c r="H14" s="18"/>
      <c r="I14" s="18"/>
      <c r="J14" s="39">
        <f t="shared" si="3"/>
        <v>42422</v>
      </c>
      <c r="K14" s="62">
        <f t="shared" si="3"/>
        <v>0</v>
      </c>
      <c r="L14" s="40">
        <f t="shared" si="0"/>
        <v>1</v>
      </c>
      <c r="M14" s="66">
        <f t="shared" si="4"/>
        <v>0.26500000000000001</v>
      </c>
      <c r="N14" s="40">
        <f t="shared" si="1"/>
        <v>0</v>
      </c>
      <c r="O14" s="41">
        <f t="shared" si="2"/>
        <v>0</v>
      </c>
      <c r="P14" s="63">
        <f t="shared" si="5"/>
        <v>0</v>
      </c>
      <c r="Q14" s="64">
        <f t="shared" si="6"/>
        <v>0</v>
      </c>
      <c r="R14" s="65">
        <f t="shared" si="6"/>
        <v>0</v>
      </c>
      <c r="S14" s="42">
        <f t="shared" si="7"/>
        <v>0</v>
      </c>
      <c r="T14" s="18"/>
      <c r="Y14" s="130"/>
    </row>
    <row r="15" spans="2:25">
      <c r="B15" s="18"/>
      <c r="C15" s="22" t="s">
        <v>10</v>
      </c>
      <c r="D15" s="23">
        <v>0.34</v>
      </c>
      <c r="E15" s="18"/>
      <c r="F15" s="10" t="s">
        <v>8</v>
      </c>
      <c r="G15" s="68">
        <f>NOMINAL(G13,12)</f>
        <v>0.23730242480806751</v>
      </c>
      <c r="H15" s="18"/>
      <c r="I15" s="18"/>
      <c r="J15" s="39">
        <f t="shared" si="3"/>
        <v>42450</v>
      </c>
      <c r="K15" s="62">
        <f t="shared" si="3"/>
        <v>0</v>
      </c>
      <c r="L15" s="40">
        <f t="shared" si="0"/>
        <v>1</v>
      </c>
      <c r="M15" s="66">
        <f t="shared" si="4"/>
        <v>0.26500000000000001</v>
      </c>
      <c r="N15" s="40">
        <f t="shared" si="1"/>
        <v>0</v>
      </c>
      <c r="O15" s="41">
        <f t="shared" si="2"/>
        <v>0</v>
      </c>
      <c r="P15" s="63">
        <f t="shared" si="5"/>
        <v>0</v>
      </c>
      <c r="Q15" s="64">
        <f t="shared" si="6"/>
        <v>0</v>
      </c>
      <c r="R15" s="65">
        <f t="shared" si="6"/>
        <v>0</v>
      </c>
      <c r="S15" s="42">
        <f t="shared" si="7"/>
        <v>0</v>
      </c>
      <c r="T15" s="18"/>
      <c r="Y15" s="130"/>
    </row>
    <row r="16" spans="2:25">
      <c r="B16" s="18"/>
      <c r="C16" s="22" t="s">
        <v>12</v>
      </c>
      <c r="D16" s="145">
        <v>42317</v>
      </c>
      <c r="E16" s="18"/>
      <c r="F16" s="24"/>
      <c r="G16" s="24"/>
      <c r="H16" s="18"/>
      <c r="I16" s="18"/>
      <c r="J16" s="39">
        <f t="shared" si="3"/>
        <v>42480</v>
      </c>
      <c r="K16" s="62">
        <f t="shared" si="3"/>
        <v>0</v>
      </c>
      <c r="L16" s="40">
        <f t="shared" si="0"/>
        <v>1</v>
      </c>
      <c r="M16" s="66">
        <f t="shared" si="4"/>
        <v>0.26500000000000001</v>
      </c>
      <c r="N16" s="40">
        <f t="shared" si="1"/>
        <v>0</v>
      </c>
      <c r="O16" s="41">
        <f t="shared" si="2"/>
        <v>0</v>
      </c>
      <c r="P16" s="63">
        <f t="shared" si="5"/>
        <v>0</v>
      </c>
      <c r="Q16" s="64">
        <f t="shared" si="6"/>
        <v>0</v>
      </c>
      <c r="R16" s="65">
        <f t="shared" si="6"/>
        <v>0</v>
      </c>
      <c r="S16" s="42">
        <f t="shared" si="7"/>
        <v>0</v>
      </c>
      <c r="T16" s="18"/>
      <c r="Y16" s="130"/>
    </row>
    <row r="17" spans="2:25">
      <c r="B17" s="18"/>
      <c r="C17" s="26" t="s">
        <v>13</v>
      </c>
      <c r="D17" s="146">
        <v>12.801406108237758</v>
      </c>
      <c r="E17" s="18"/>
      <c r="F17" s="10" t="s">
        <v>11</v>
      </c>
      <c r="G17" s="25">
        <v>1</v>
      </c>
      <c r="H17" s="18"/>
      <c r="I17" s="18"/>
      <c r="J17" s="39">
        <f t="shared" si="3"/>
        <v>42510</v>
      </c>
      <c r="K17" s="62">
        <f t="shared" si="3"/>
        <v>0</v>
      </c>
      <c r="L17" s="40">
        <f t="shared" si="0"/>
        <v>1</v>
      </c>
      <c r="M17" s="66">
        <f t="shared" si="4"/>
        <v>0.26500000000000001</v>
      </c>
      <c r="N17" s="40">
        <f t="shared" si="1"/>
        <v>0</v>
      </c>
      <c r="O17" s="41">
        <f t="shared" si="2"/>
        <v>0</v>
      </c>
      <c r="P17" s="63">
        <f t="shared" si="5"/>
        <v>0</v>
      </c>
      <c r="Q17" s="64">
        <f t="shared" si="6"/>
        <v>0</v>
      </c>
      <c r="R17" s="65">
        <f t="shared" si="6"/>
        <v>0</v>
      </c>
      <c r="S17" s="42">
        <f t="shared" si="7"/>
        <v>0</v>
      </c>
      <c r="T17" s="18"/>
      <c r="Y17" s="130"/>
    </row>
    <row r="18" spans="2:25">
      <c r="B18" s="18"/>
      <c r="C18" s="26" t="s">
        <v>14</v>
      </c>
      <c r="D18" s="147" t="s">
        <v>66</v>
      </c>
      <c r="E18" s="18"/>
      <c r="F18" s="24"/>
      <c r="G18" s="24"/>
      <c r="H18" s="18"/>
      <c r="I18" s="18"/>
      <c r="J18" s="39">
        <f t="shared" si="3"/>
        <v>42541</v>
      </c>
      <c r="K18" s="62">
        <f t="shared" si="3"/>
        <v>0</v>
      </c>
      <c r="L18" s="40">
        <f t="shared" si="0"/>
        <v>1</v>
      </c>
      <c r="M18" s="66">
        <f t="shared" si="4"/>
        <v>0.26500000000000001</v>
      </c>
      <c r="N18" s="40">
        <f t="shared" si="1"/>
        <v>0</v>
      </c>
      <c r="O18" s="41">
        <f t="shared" si="2"/>
        <v>0</v>
      </c>
      <c r="P18" s="63">
        <f t="shared" si="5"/>
        <v>0</v>
      </c>
      <c r="Q18" s="64">
        <f t="shared" si="6"/>
        <v>0</v>
      </c>
      <c r="R18" s="65">
        <f t="shared" si="6"/>
        <v>0</v>
      </c>
      <c r="S18" s="42">
        <f t="shared" si="7"/>
        <v>0</v>
      </c>
      <c r="T18" s="18"/>
      <c r="Y18" s="130"/>
    </row>
    <row r="19" spans="2:25">
      <c r="B19" s="18"/>
      <c r="C19" s="29" t="s">
        <v>15</v>
      </c>
      <c r="D19" s="30" t="s">
        <v>54</v>
      </c>
      <c r="E19" s="18"/>
      <c r="F19" s="27" t="s">
        <v>19</v>
      </c>
      <c r="G19" s="28">
        <f>+G9*G17</f>
        <v>15000000</v>
      </c>
      <c r="H19" s="18"/>
      <c r="I19" s="18"/>
      <c r="J19" s="39">
        <f t="shared" si="3"/>
        <v>42571</v>
      </c>
      <c r="K19" s="62">
        <f t="shared" si="3"/>
        <v>0</v>
      </c>
      <c r="L19" s="40">
        <f t="shared" si="0"/>
        <v>1</v>
      </c>
      <c r="M19" s="66">
        <f t="shared" si="4"/>
        <v>0.26500000000000001</v>
      </c>
      <c r="N19" s="40">
        <f t="shared" si="1"/>
        <v>0</v>
      </c>
      <c r="O19" s="41">
        <f t="shared" si="2"/>
        <v>0</v>
      </c>
      <c r="P19" s="63">
        <f t="shared" si="5"/>
        <v>0</v>
      </c>
      <c r="Q19" s="64">
        <f t="shared" si="6"/>
        <v>0</v>
      </c>
      <c r="R19" s="65">
        <f t="shared" si="6"/>
        <v>0</v>
      </c>
      <c r="S19" s="42">
        <f t="shared" si="7"/>
        <v>0</v>
      </c>
      <c r="T19" s="18"/>
      <c r="Y19" s="130"/>
    </row>
    <row r="20" spans="2:25" ht="12" customHeight="1">
      <c r="B20" s="18"/>
      <c r="C20" s="18"/>
      <c r="D20" s="18"/>
      <c r="E20" s="18"/>
      <c r="F20" s="18"/>
      <c r="G20" s="18"/>
      <c r="H20" s="18"/>
      <c r="I20" s="18"/>
      <c r="J20" s="39">
        <f t="shared" si="3"/>
        <v>42604</v>
      </c>
      <c r="K20" s="62">
        <f t="shared" si="3"/>
        <v>0</v>
      </c>
      <c r="L20" s="40">
        <f t="shared" si="0"/>
        <v>1</v>
      </c>
      <c r="M20" s="66">
        <f t="shared" si="4"/>
        <v>0.26500000000000001</v>
      </c>
      <c r="N20" s="40">
        <f t="shared" si="1"/>
        <v>0</v>
      </c>
      <c r="O20" s="41">
        <f t="shared" si="2"/>
        <v>0</v>
      </c>
      <c r="P20" s="63">
        <f t="shared" si="5"/>
        <v>0</v>
      </c>
      <c r="Q20" s="64">
        <f t="shared" si="6"/>
        <v>0</v>
      </c>
      <c r="R20" s="65">
        <f t="shared" si="6"/>
        <v>0</v>
      </c>
      <c r="S20" s="42">
        <f t="shared" si="7"/>
        <v>0</v>
      </c>
      <c r="T20" s="18"/>
      <c r="Y20" s="130"/>
    </row>
    <row r="21" spans="2:25" ht="12.75" customHeight="1">
      <c r="I21" s="18"/>
      <c r="J21" s="39">
        <f t="shared" si="3"/>
        <v>42633</v>
      </c>
      <c r="K21" s="62">
        <f t="shared" si="3"/>
        <v>0</v>
      </c>
      <c r="L21" s="40">
        <f t="shared" si="0"/>
        <v>1</v>
      </c>
      <c r="M21" s="66">
        <f t="shared" si="4"/>
        <v>0.26500000000000001</v>
      </c>
      <c r="N21" s="40">
        <f t="shared" si="1"/>
        <v>0</v>
      </c>
      <c r="O21" s="41">
        <f t="shared" si="2"/>
        <v>0</v>
      </c>
      <c r="P21" s="63">
        <f t="shared" si="5"/>
        <v>0</v>
      </c>
      <c r="Q21" s="64">
        <f t="shared" si="6"/>
        <v>0</v>
      </c>
      <c r="R21" s="65">
        <f t="shared" si="6"/>
        <v>0</v>
      </c>
      <c r="S21" s="42">
        <f t="shared" si="7"/>
        <v>0</v>
      </c>
      <c r="T21" s="18"/>
      <c r="Y21" s="130"/>
    </row>
    <row r="22" spans="2:25">
      <c r="C22" s="165" t="s">
        <v>67</v>
      </c>
      <c r="D22" s="165"/>
      <c r="E22" s="165"/>
      <c r="F22" s="165"/>
      <c r="G22" s="165"/>
      <c r="I22" s="18"/>
      <c r="J22" s="39">
        <f t="shared" si="3"/>
        <v>42663</v>
      </c>
      <c r="K22" s="62">
        <f t="shared" si="3"/>
        <v>0</v>
      </c>
      <c r="L22" s="40">
        <f t="shared" si="0"/>
        <v>1</v>
      </c>
      <c r="M22" s="66">
        <f t="shared" si="4"/>
        <v>0.26500000000000001</v>
      </c>
      <c r="N22" s="40">
        <f t="shared" si="1"/>
        <v>0</v>
      </c>
      <c r="O22" s="41">
        <f t="shared" si="2"/>
        <v>0</v>
      </c>
      <c r="P22" s="63">
        <f t="shared" si="5"/>
        <v>0</v>
      </c>
      <c r="Q22" s="64">
        <f t="shared" si="6"/>
        <v>0</v>
      </c>
      <c r="R22" s="65">
        <f t="shared" si="6"/>
        <v>0</v>
      </c>
      <c r="S22" s="42">
        <f t="shared" si="7"/>
        <v>0</v>
      </c>
      <c r="T22" s="18"/>
      <c r="Y22" s="130"/>
    </row>
    <row r="23" spans="2:25">
      <c r="C23" s="165"/>
      <c r="D23" s="165"/>
      <c r="E23" s="165"/>
      <c r="F23" s="165"/>
      <c r="G23" s="165"/>
      <c r="I23" s="18"/>
      <c r="J23" s="39">
        <f t="shared" ref="J23:K23" si="8">+J50</f>
        <v>42695</v>
      </c>
      <c r="K23" s="62">
        <f t="shared" si="8"/>
        <v>378</v>
      </c>
      <c r="L23" s="40">
        <f t="shared" ref="L23:L24" si="9">P50/100</f>
        <v>0.5</v>
      </c>
      <c r="M23" s="66">
        <f t="shared" si="4"/>
        <v>0.26500000000000001</v>
      </c>
      <c r="N23" s="40">
        <f>+O50/100</f>
        <v>0.5</v>
      </c>
      <c r="O23" s="41">
        <f t="shared" ref="O23:O24" si="10">+Q50/100</f>
        <v>0.27443835616438356</v>
      </c>
      <c r="P23" s="63">
        <f t="shared" ref="P23:P24" si="11">+IF(J23&lt;$D$16, 0, N23+O23)</f>
        <v>0.7744383561643835</v>
      </c>
      <c r="Q23" s="64">
        <f t="shared" ref="Q23:Q24" si="12">+N23*$G$19</f>
        <v>7500000</v>
      </c>
      <c r="R23" s="65">
        <f t="shared" ref="R23:R24" si="13">+O23*$G$19</f>
        <v>4116575.3424657532</v>
      </c>
      <c r="S23" s="42">
        <f t="shared" ref="S23:S24" si="14">SUM(Q23:R23)</f>
        <v>11616575.342465753</v>
      </c>
      <c r="T23" s="18"/>
    </row>
    <row r="24" spans="2:25" ht="14.25" thickBot="1">
      <c r="C24" s="165"/>
      <c r="D24" s="165"/>
      <c r="E24" s="165"/>
      <c r="F24" s="165"/>
      <c r="G24" s="165"/>
      <c r="I24" s="18"/>
      <c r="J24" s="39">
        <f t="shared" ref="J24:K24" si="15">+J51</f>
        <v>42724</v>
      </c>
      <c r="K24" s="62">
        <f t="shared" si="15"/>
        <v>29</v>
      </c>
      <c r="L24" s="40">
        <f t="shared" si="9"/>
        <v>0</v>
      </c>
      <c r="M24" s="66">
        <f t="shared" si="4"/>
        <v>0.26500000000000001</v>
      </c>
      <c r="N24" s="40">
        <f t="shared" ref="N23:N24" si="16">+O51/100</f>
        <v>0.5</v>
      </c>
      <c r="O24" s="41">
        <f t="shared" si="10"/>
        <v>1.0527397260273973E-2</v>
      </c>
      <c r="P24" s="63">
        <f t="shared" si="11"/>
        <v>0.51052739726027396</v>
      </c>
      <c r="Q24" s="64">
        <f t="shared" si="12"/>
        <v>7500000</v>
      </c>
      <c r="R24" s="65">
        <f t="shared" si="13"/>
        <v>157910.9589041096</v>
      </c>
      <c r="S24" s="42">
        <f t="shared" si="14"/>
        <v>7657910.9589041099</v>
      </c>
      <c r="T24" s="18"/>
    </row>
    <row r="25" spans="2:25" ht="13.5" customHeight="1" thickBot="1">
      <c r="C25" s="165"/>
      <c r="D25" s="165"/>
      <c r="E25" s="165"/>
      <c r="F25" s="165"/>
      <c r="G25" s="165"/>
      <c r="I25" s="18"/>
      <c r="J25" s="33" t="s">
        <v>5</v>
      </c>
      <c r="K25" s="69"/>
      <c r="L25" s="70"/>
      <c r="M25" s="71"/>
      <c r="N25" s="43">
        <f>SUM(N9:N24)</f>
        <v>1</v>
      </c>
      <c r="O25" s="44">
        <f>SUM(O9:O24)</f>
        <v>0.28496575342465752</v>
      </c>
      <c r="P25" s="71"/>
      <c r="Q25" s="72">
        <f>SUM(Q11:Q24)</f>
        <v>15000000</v>
      </c>
      <c r="R25" s="73">
        <f>SUM(R11:R24)</f>
        <v>4274486.3013698626</v>
      </c>
      <c r="S25" s="45">
        <f>SUM(S11:S24)</f>
        <v>19274486.301369861</v>
      </c>
      <c r="T25" s="18"/>
    </row>
    <row r="26" spans="2:25">
      <c r="C26" s="16" t="s">
        <v>62</v>
      </c>
      <c r="I26" s="18"/>
      <c r="J26" s="18"/>
      <c r="K26" s="18"/>
      <c r="L26" s="3"/>
      <c r="M26" s="3"/>
      <c r="N26" s="3"/>
      <c r="O26" s="18"/>
      <c r="P26" s="18"/>
      <c r="Q26" s="18"/>
      <c r="R26" s="18"/>
      <c r="S26" s="18"/>
      <c r="T26" s="18"/>
    </row>
    <row r="27" spans="2:25">
      <c r="C27" s="16" t="s">
        <v>17</v>
      </c>
      <c r="J27" s="46"/>
      <c r="K27" s="46"/>
      <c r="L27" s="46"/>
      <c r="M27" s="46"/>
      <c r="R27" s="32"/>
      <c r="T27" s="17"/>
    </row>
    <row r="28" spans="2:25">
      <c r="C28" s="12" t="s">
        <v>61</v>
      </c>
      <c r="J28" s="46"/>
      <c r="K28" s="46"/>
      <c r="L28" s="46"/>
      <c r="M28" s="46"/>
      <c r="R28" s="32"/>
      <c r="T28" s="17"/>
    </row>
    <row r="29" spans="2:25" ht="14.25" thickBot="1">
      <c r="C29" s="12"/>
      <c r="J29" s="46"/>
      <c r="K29" s="46"/>
      <c r="L29" s="46"/>
      <c r="M29" s="46"/>
      <c r="R29" s="32"/>
      <c r="T29" s="144"/>
    </row>
    <row r="30" spans="2:25">
      <c r="C30" s="151" t="s">
        <v>58</v>
      </c>
      <c r="D30" s="152"/>
      <c r="E30" s="152"/>
      <c r="F30" s="152"/>
      <c r="G30" s="153"/>
      <c r="J30" s="46"/>
      <c r="K30" s="46"/>
      <c r="L30" s="46"/>
      <c r="M30" s="46"/>
      <c r="R30" s="32"/>
      <c r="T30" s="144"/>
    </row>
    <row r="31" spans="2:25">
      <c r="C31" s="154"/>
      <c r="D31" s="155"/>
      <c r="E31" s="155"/>
      <c r="F31" s="155"/>
      <c r="G31" s="156"/>
      <c r="J31" s="46"/>
      <c r="K31" s="46"/>
      <c r="L31" s="46"/>
      <c r="M31" s="46"/>
      <c r="R31" s="32"/>
      <c r="T31" s="17"/>
    </row>
    <row r="32" spans="2:25" ht="14.25" thickBot="1">
      <c r="C32" s="157"/>
      <c r="D32" s="158"/>
      <c r="E32" s="158"/>
      <c r="F32" s="158"/>
      <c r="G32" s="159"/>
      <c r="J32" s="46"/>
      <c r="K32" s="46"/>
      <c r="L32" s="46"/>
      <c r="M32" s="46"/>
      <c r="R32" s="32"/>
      <c r="T32" s="144"/>
    </row>
    <row r="33" spans="3:21" ht="14.25" thickBot="1">
      <c r="J33" s="46"/>
      <c r="K33" s="46"/>
      <c r="L33" s="46"/>
      <c r="M33" s="46"/>
      <c r="R33" s="32"/>
      <c r="T33" s="17"/>
    </row>
    <row r="34" spans="3:21" ht="111.75" customHeight="1" thickTop="1" thickBot="1">
      <c r="C34" s="148" t="s">
        <v>24</v>
      </c>
      <c r="D34" s="149"/>
      <c r="E34" s="149"/>
      <c r="F34" s="149"/>
      <c r="G34" s="149"/>
      <c r="H34" s="149"/>
      <c r="I34" s="149"/>
      <c r="J34" s="149"/>
      <c r="K34" s="149"/>
      <c r="L34" s="149"/>
      <c r="M34" s="149"/>
      <c r="N34" s="149"/>
      <c r="O34" s="149"/>
      <c r="P34" s="149"/>
      <c r="Q34" s="149"/>
      <c r="R34" s="149"/>
      <c r="S34" s="149"/>
      <c r="T34" s="150"/>
    </row>
    <row r="35" spans="3:21" ht="14.25" thickTop="1">
      <c r="J35" s="7"/>
      <c r="K35" s="7"/>
      <c r="L35" s="7"/>
      <c r="M35" s="7"/>
      <c r="T35" s="74"/>
      <c r="U35" s="17"/>
    </row>
    <row r="36" spans="3:21" ht="14.25" hidden="1" thickBot="1">
      <c r="J36" s="47" t="s">
        <v>2</v>
      </c>
      <c r="K36" s="48" t="s">
        <v>26</v>
      </c>
      <c r="L36" s="48" t="s">
        <v>29</v>
      </c>
      <c r="M36" s="48" t="s">
        <v>4</v>
      </c>
      <c r="N36" s="48" t="s">
        <v>3</v>
      </c>
      <c r="O36" s="48" t="s">
        <v>30</v>
      </c>
      <c r="P36" s="75" t="s">
        <v>27</v>
      </c>
      <c r="Q36" s="49" t="s">
        <v>31</v>
      </c>
      <c r="R36" s="76"/>
      <c r="T36" s="74"/>
      <c r="U36" s="17"/>
    </row>
    <row r="37" spans="3:21" hidden="1">
      <c r="J37" s="50">
        <f>+D16</f>
        <v>42317</v>
      </c>
      <c r="K37" s="77"/>
      <c r="L37" s="78">
        <f>+D9</f>
        <v>15000000</v>
      </c>
      <c r="M37" s="51"/>
      <c r="N37" s="52"/>
      <c r="O37" s="77"/>
      <c r="P37" s="79">
        <v>100</v>
      </c>
      <c r="Q37" s="80"/>
      <c r="R37" s="81"/>
      <c r="T37" s="74"/>
      <c r="U37" s="17"/>
    </row>
    <row r="38" spans="3:21" hidden="1">
      <c r="J38" s="96">
        <v>42328</v>
      </c>
      <c r="K38" s="82"/>
      <c r="L38" s="83">
        <f>L37-M38</f>
        <v>15000000</v>
      </c>
      <c r="M38" s="99">
        <v>0</v>
      </c>
      <c r="N38" s="53">
        <f t="shared" ref="N38:N49" si="17">+M11/365*K38*L37</f>
        <v>0</v>
      </c>
      <c r="O38" s="84">
        <f t="shared" ref="O38:O49" si="18">+M38/$L$37*100</f>
        <v>0</v>
      </c>
      <c r="P38" s="85">
        <f>P37-O38</f>
        <v>100</v>
      </c>
      <c r="Q38" s="86">
        <f t="shared" ref="Q38:Q49" si="19">+N38/$L$37*100</f>
        <v>0</v>
      </c>
      <c r="R38" s="101">
        <v>0</v>
      </c>
      <c r="S38" s="87">
        <f>+R38-N38</f>
        <v>0</v>
      </c>
      <c r="T38" s="74"/>
      <c r="U38" s="17"/>
    </row>
    <row r="39" spans="3:21" hidden="1">
      <c r="J39" s="96">
        <v>42359</v>
      </c>
      <c r="K39" s="82"/>
      <c r="L39" s="83">
        <f t="shared" ref="L39:L51" si="20">L38-M39</f>
        <v>15000000</v>
      </c>
      <c r="M39" s="99">
        <v>0</v>
      </c>
      <c r="N39" s="53">
        <f t="shared" si="17"/>
        <v>0</v>
      </c>
      <c r="O39" s="84">
        <f t="shared" si="18"/>
        <v>0</v>
      </c>
      <c r="P39" s="85">
        <f t="shared" ref="P39:P51" si="21">P38-O39</f>
        <v>100</v>
      </c>
      <c r="Q39" s="86">
        <f t="shared" si="19"/>
        <v>0</v>
      </c>
      <c r="R39" s="101">
        <v>0</v>
      </c>
      <c r="S39" s="87">
        <f t="shared" ref="S39:S51" si="22">+R39-N39</f>
        <v>0</v>
      </c>
      <c r="T39" s="74"/>
      <c r="U39" s="17"/>
    </row>
    <row r="40" spans="3:21" hidden="1">
      <c r="J40" s="96">
        <v>42389</v>
      </c>
      <c r="K40" s="82"/>
      <c r="L40" s="83">
        <f t="shared" si="20"/>
        <v>15000000</v>
      </c>
      <c r="M40" s="99">
        <v>0</v>
      </c>
      <c r="N40" s="53">
        <f t="shared" si="17"/>
        <v>0</v>
      </c>
      <c r="O40" s="84">
        <f t="shared" si="18"/>
        <v>0</v>
      </c>
      <c r="P40" s="85">
        <f t="shared" si="21"/>
        <v>100</v>
      </c>
      <c r="Q40" s="86">
        <f t="shared" si="19"/>
        <v>0</v>
      </c>
      <c r="R40" s="101">
        <v>0</v>
      </c>
      <c r="S40" s="87">
        <f t="shared" si="22"/>
        <v>0</v>
      </c>
      <c r="T40" s="74"/>
      <c r="U40" s="17"/>
    </row>
    <row r="41" spans="3:21" hidden="1">
      <c r="J41" s="96">
        <v>42422</v>
      </c>
      <c r="K41" s="82"/>
      <c r="L41" s="83">
        <f t="shared" si="20"/>
        <v>15000000</v>
      </c>
      <c r="M41" s="99">
        <v>0</v>
      </c>
      <c r="N41" s="53">
        <f t="shared" si="17"/>
        <v>0</v>
      </c>
      <c r="O41" s="84">
        <f t="shared" si="18"/>
        <v>0</v>
      </c>
      <c r="P41" s="85">
        <f t="shared" si="21"/>
        <v>100</v>
      </c>
      <c r="Q41" s="86">
        <f t="shared" si="19"/>
        <v>0</v>
      </c>
      <c r="R41" s="101">
        <v>0</v>
      </c>
      <c r="S41" s="87">
        <f t="shared" si="22"/>
        <v>0</v>
      </c>
      <c r="T41" s="74"/>
      <c r="U41" s="17"/>
    </row>
    <row r="42" spans="3:21" hidden="1">
      <c r="J42" s="96">
        <v>42450</v>
      </c>
      <c r="K42" s="82"/>
      <c r="L42" s="83">
        <f t="shared" si="20"/>
        <v>15000000</v>
      </c>
      <c r="M42" s="99">
        <v>0</v>
      </c>
      <c r="N42" s="53">
        <f t="shared" si="17"/>
        <v>0</v>
      </c>
      <c r="O42" s="84">
        <f t="shared" si="18"/>
        <v>0</v>
      </c>
      <c r="P42" s="85">
        <f t="shared" si="21"/>
        <v>100</v>
      </c>
      <c r="Q42" s="86">
        <f t="shared" si="19"/>
        <v>0</v>
      </c>
      <c r="R42" s="101">
        <v>0</v>
      </c>
      <c r="S42" s="87">
        <f t="shared" si="22"/>
        <v>0</v>
      </c>
      <c r="T42" s="74"/>
      <c r="U42" s="17"/>
    </row>
    <row r="43" spans="3:21" hidden="1">
      <c r="J43" s="96">
        <v>42480</v>
      </c>
      <c r="K43" s="82"/>
      <c r="L43" s="83">
        <f t="shared" si="20"/>
        <v>15000000</v>
      </c>
      <c r="M43" s="99">
        <v>0</v>
      </c>
      <c r="N43" s="53">
        <f t="shared" si="17"/>
        <v>0</v>
      </c>
      <c r="O43" s="84">
        <f t="shared" si="18"/>
        <v>0</v>
      </c>
      <c r="P43" s="85">
        <f t="shared" si="21"/>
        <v>100</v>
      </c>
      <c r="Q43" s="86">
        <f t="shared" si="19"/>
        <v>0</v>
      </c>
      <c r="R43" s="101">
        <v>0</v>
      </c>
      <c r="S43" s="87">
        <f t="shared" si="22"/>
        <v>0</v>
      </c>
      <c r="T43" s="74"/>
      <c r="U43" s="17"/>
    </row>
    <row r="44" spans="3:21" hidden="1">
      <c r="J44" s="96">
        <v>42510</v>
      </c>
      <c r="K44" s="82"/>
      <c r="L44" s="83">
        <f t="shared" si="20"/>
        <v>15000000</v>
      </c>
      <c r="M44" s="99">
        <v>0</v>
      </c>
      <c r="N44" s="53">
        <f t="shared" si="17"/>
        <v>0</v>
      </c>
      <c r="O44" s="84">
        <f t="shared" si="18"/>
        <v>0</v>
      </c>
      <c r="P44" s="85">
        <f t="shared" si="21"/>
        <v>100</v>
      </c>
      <c r="Q44" s="86">
        <f t="shared" si="19"/>
        <v>0</v>
      </c>
      <c r="R44" s="101">
        <v>0</v>
      </c>
      <c r="S44" s="87">
        <f t="shared" si="22"/>
        <v>0</v>
      </c>
      <c r="T44" s="74"/>
      <c r="U44" s="17"/>
    </row>
    <row r="45" spans="3:21" hidden="1">
      <c r="J45" s="96">
        <v>42541</v>
      </c>
      <c r="K45" s="82"/>
      <c r="L45" s="83">
        <f t="shared" si="20"/>
        <v>15000000</v>
      </c>
      <c r="M45" s="99">
        <v>0</v>
      </c>
      <c r="N45" s="53">
        <f t="shared" si="17"/>
        <v>0</v>
      </c>
      <c r="O45" s="84">
        <f t="shared" si="18"/>
        <v>0</v>
      </c>
      <c r="P45" s="85">
        <f t="shared" si="21"/>
        <v>100</v>
      </c>
      <c r="Q45" s="86">
        <f t="shared" si="19"/>
        <v>0</v>
      </c>
      <c r="R45" s="101">
        <v>0</v>
      </c>
      <c r="S45" s="87">
        <f t="shared" si="22"/>
        <v>0</v>
      </c>
      <c r="T45" s="74"/>
      <c r="U45" s="17"/>
    </row>
    <row r="46" spans="3:21" hidden="1">
      <c r="J46" s="96">
        <v>42571</v>
      </c>
      <c r="K46" s="82"/>
      <c r="L46" s="83">
        <f t="shared" si="20"/>
        <v>15000000</v>
      </c>
      <c r="M46" s="99">
        <v>0</v>
      </c>
      <c r="N46" s="53">
        <f t="shared" si="17"/>
        <v>0</v>
      </c>
      <c r="O46" s="84">
        <f t="shared" si="18"/>
        <v>0</v>
      </c>
      <c r="P46" s="85">
        <f t="shared" si="21"/>
        <v>100</v>
      </c>
      <c r="Q46" s="86">
        <f t="shared" si="19"/>
        <v>0</v>
      </c>
      <c r="R46" s="101">
        <v>0</v>
      </c>
      <c r="S46" s="87">
        <f t="shared" si="22"/>
        <v>0</v>
      </c>
      <c r="T46" s="74"/>
      <c r="U46" s="17"/>
    </row>
    <row r="47" spans="3:21" hidden="1">
      <c r="J47" s="96">
        <v>42604</v>
      </c>
      <c r="K47" s="82"/>
      <c r="L47" s="83">
        <f t="shared" si="20"/>
        <v>15000000</v>
      </c>
      <c r="M47" s="99">
        <v>0</v>
      </c>
      <c r="N47" s="53">
        <f t="shared" si="17"/>
        <v>0</v>
      </c>
      <c r="O47" s="84">
        <f t="shared" si="18"/>
        <v>0</v>
      </c>
      <c r="P47" s="85">
        <f t="shared" si="21"/>
        <v>100</v>
      </c>
      <c r="Q47" s="86">
        <f t="shared" si="19"/>
        <v>0</v>
      </c>
      <c r="R47" s="101">
        <v>0</v>
      </c>
      <c r="S47" s="87">
        <f t="shared" si="22"/>
        <v>0</v>
      </c>
      <c r="T47" s="74"/>
      <c r="U47" s="17"/>
    </row>
    <row r="48" spans="3:21" hidden="1">
      <c r="J48" s="96">
        <v>42633</v>
      </c>
      <c r="K48" s="82"/>
      <c r="L48" s="83">
        <f t="shared" si="20"/>
        <v>15000000</v>
      </c>
      <c r="M48" s="99">
        <v>0</v>
      </c>
      <c r="N48" s="53">
        <f t="shared" si="17"/>
        <v>0</v>
      </c>
      <c r="O48" s="84">
        <f t="shared" si="18"/>
        <v>0</v>
      </c>
      <c r="P48" s="85">
        <f t="shared" si="21"/>
        <v>100</v>
      </c>
      <c r="Q48" s="86">
        <f t="shared" si="19"/>
        <v>0</v>
      </c>
      <c r="R48" s="101">
        <v>0</v>
      </c>
      <c r="S48" s="87">
        <f t="shared" si="22"/>
        <v>0</v>
      </c>
      <c r="T48" s="74"/>
      <c r="U48" s="17"/>
    </row>
    <row r="49" spans="10:21" hidden="1">
      <c r="J49" s="96">
        <v>42663</v>
      </c>
      <c r="K49" s="82"/>
      <c r="L49" s="83">
        <f t="shared" si="20"/>
        <v>15000000</v>
      </c>
      <c r="M49" s="99">
        <v>0</v>
      </c>
      <c r="N49" s="53">
        <f t="shared" si="17"/>
        <v>0</v>
      </c>
      <c r="O49" s="84">
        <f t="shared" si="18"/>
        <v>0</v>
      </c>
      <c r="P49" s="85">
        <f t="shared" si="21"/>
        <v>100</v>
      </c>
      <c r="Q49" s="86">
        <f t="shared" si="19"/>
        <v>0</v>
      </c>
      <c r="R49" s="101">
        <v>0</v>
      </c>
      <c r="S49" s="87">
        <f>+R49-N49</f>
        <v>0</v>
      </c>
      <c r="T49" s="74"/>
      <c r="U49" s="17"/>
    </row>
    <row r="50" spans="10:21" hidden="1">
      <c r="J50" s="97">
        <v>42695</v>
      </c>
      <c r="K50" s="82">
        <f>+J50-J37</f>
        <v>378</v>
      </c>
      <c r="L50" s="83">
        <f t="shared" si="20"/>
        <v>7500000</v>
      </c>
      <c r="M50" s="100">
        <v>7500000</v>
      </c>
      <c r="N50" s="53">
        <f>+M23/365*K50*L49</f>
        <v>4116575.3424657532</v>
      </c>
      <c r="O50" s="84">
        <f t="shared" ref="O50:O51" si="23">+M50/$L$37*100</f>
        <v>50</v>
      </c>
      <c r="P50" s="85">
        <f t="shared" si="21"/>
        <v>50</v>
      </c>
      <c r="Q50" s="86">
        <f>+N50/$L$37*100</f>
        <v>27.443835616438356</v>
      </c>
      <c r="R50" s="102">
        <v>4116575</v>
      </c>
      <c r="S50" s="87">
        <f>+R50-N50</f>
        <v>-0.34246575320139527</v>
      </c>
      <c r="T50" s="74"/>
      <c r="U50" s="17"/>
    </row>
    <row r="51" spans="10:21" hidden="1">
      <c r="J51" s="97">
        <v>42724</v>
      </c>
      <c r="K51" s="82">
        <f>+J51-J50</f>
        <v>29</v>
      </c>
      <c r="L51" s="83">
        <f t="shared" si="20"/>
        <v>0</v>
      </c>
      <c r="M51" s="100">
        <v>7500000</v>
      </c>
      <c r="N51" s="53">
        <f>+M24/365*K51*L50</f>
        <v>157910.9589041096</v>
      </c>
      <c r="O51" s="84">
        <f t="shared" si="23"/>
        <v>50</v>
      </c>
      <c r="P51" s="85">
        <f t="shared" si="21"/>
        <v>0</v>
      </c>
      <c r="Q51" s="86">
        <f t="shared" ref="Q50:Q51" si="24">+N51/$L$37*100</f>
        <v>1.0527397260273974</v>
      </c>
      <c r="R51" s="102">
        <v>157911</v>
      </c>
      <c r="S51" s="87">
        <f t="shared" si="22"/>
        <v>4.1095890395808965E-2</v>
      </c>
      <c r="T51" s="74"/>
      <c r="U51" s="17"/>
    </row>
    <row r="52" spans="10:21" hidden="1">
      <c r="J52" s="97"/>
      <c r="K52" s="82"/>
      <c r="L52" s="83"/>
      <c r="M52" s="100"/>
      <c r="N52" s="53"/>
      <c r="O52" s="84"/>
      <c r="P52" s="85"/>
      <c r="Q52" s="86"/>
      <c r="R52" s="103"/>
      <c r="S52" s="87"/>
    </row>
    <row r="53" spans="10:21" ht="14.25" hidden="1" thickBot="1">
      <c r="J53" s="54"/>
      <c r="K53" s="88">
        <f>SUM(K38:K52)</f>
        <v>407</v>
      </c>
      <c r="L53" s="89"/>
      <c r="M53" s="94"/>
      <c r="N53" s="95">
        <f>+SUM(N38:N52)</f>
        <v>4274486.3013698626</v>
      </c>
      <c r="O53" s="90">
        <f>SUM(O38:O52)</f>
        <v>100</v>
      </c>
    </row>
    <row r="54" spans="10:21" hidden="1"/>
    <row r="55" spans="10:21" hidden="1">
      <c r="J55" s="98"/>
      <c r="K55" s="16" t="s">
        <v>33</v>
      </c>
      <c r="N55" s="138">
        <f>+N53/L37</f>
        <v>0.28496575342465752</v>
      </c>
    </row>
    <row r="56" spans="10:21" hidden="1">
      <c r="N56" s="143">
        <f>+N55-O25</f>
        <v>0</v>
      </c>
    </row>
    <row r="57" spans="10:21" hidden="1">
      <c r="N57" s="130"/>
    </row>
    <row r="58" spans="10:21" hidden="1"/>
    <row r="59" spans="10:21" hidden="1"/>
  </sheetData>
  <sheetProtection password="CF7A" sheet="1" objects="1" scenarios="1" selectLockedCells="1"/>
  <mergeCells count="8">
    <mergeCell ref="C30:G32"/>
    <mergeCell ref="C34:T34"/>
    <mergeCell ref="B2:T2"/>
    <mergeCell ref="B3:T3"/>
    <mergeCell ref="C7:D7"/>
    <mergeCell ref="F7:G7"/>
    <mergeCell ref="J7:S7"/>
    <mergeCell ref="C22:G25"/>
  </mergeCells>
  <printOptions horizontalCentered="1"/>
  <pageMargins left="0.78740157480314965" right="0.78740157480314965" top="0.98425196850393704" bottom="0.98425196850393704" header="0.39370078740157483" footer="0.39370078740157483"/>
  <pageSetup paperSize="9" scale="64" orientation="landscape" r:id="rId1"/>
  <headerFooter alignWithMargins="0"/>
  <ignoredErrors>
    <ignoredError sqref="I9" evalError="1"/>
  </ignoredErrors>
  <drawing r:id="rId2"/>
  <legacyDrawingHF r:id="rId3"/>
</worksheet>
</file>

<file path=xl/worksheets/sheet3.xml><?xml version="1.0" encoding="utf-8"?>
<worksheet xmlns="http://schemas.openxmlformats.org/spreadsheetml/2006/main" xmlns:r="http://schemas.openxmlformats.org/officeDocument/2006/relationships">
  <sheetPr>
    <pageSetUpPr fitToPage="1"/>
  </sheetPr>
  <dimension ref="B1:Q56"/>
  <sheetViews>
    <sheetView zoomScale="85" zoomScaleNormal="85" zoomScaleSheetLayoutView="90" workbookViewId="0">
      <selection activeCell="G10" sqref="G10"/>
    </sheetView>
  </sheetViews>
  <sheetFormatPr baseColWidth="10" defaultColWidth="9.140625" defaultRowHeight="13.5"/>
  <cols>
    <col min="1" max="1" width="1.7109375" style="16" customWidth="1"/>
    <col min="2" max="2" width="3.7109375" style="16" customWidth="1"/>
    <col min="3" max="3" width="24.5703125" style="16" customWidth="1"/>
    <col min="4" max="4" width="22.140625" style="16" bestFit="1" customWidth="1"/>
    <col min="5" max="5" width="3.7109375" style="16" customWidth="1"/>
    <col min="6" max="6" width="24.7109375" style="16" bestFit="1" customWidth="1"/>
    <col min="7" max="7" width="18.28515625" style="16" bestFit="1" customWidth="1"/>
    <col min="8" max="8" width="3.7109375" style="16" customWidth="1"/>
    <col min="9" max="12" width="17" style="16" customWidth="1"/>
    <col min="13" max="13" width="3.7109375" style="16" customWidth="1"/>
    <col min="14" max="14" width="1.7109375" style="16" customWidth="1"/>
    <col min="15" max="15" width="14.140625" style="16" customWidth="1"/>
    <col min="16" max="16" width="9.140625" style="16" customWidth="1"/>
    <col min="17" max="17" width="11.5703125" style="16" customWidth="1"/>
    <col min="18" max="16384" width="9.140625" style="16"/>
  </cols>
  <sheetData>
    <row r="1" spans="2:17" s="4" customFormat="1" ht="12.75" customHeight="1">
      <c r="N1" s="5"/>
    </row>
    <row r="2" spans="2:17" s="4" customFormat="1" ht="15.75" customHeight="1">
      <c r="B2" s="160" t="str">
        <f>+'VDF TVA'!B2:T2</f>
        <v>FIDEICOMISO FINANCIERO CREDIMAS SERIE 25</v>
      </c>
      <c r="C2" s="160"/>
      <c r="D2" s="160"/>
      <c r="E2" s="160"/>
      <c r="F2" s="160"/>
      <c r="G2" s="160"/>
      <c r="H2" s="160"/>
      <c r="I2" s="160"/>
      <c r="J2" s="160"/>
      <c r="K2" s="160"/>
      <c r="L2" s="160"/>
      <c r="M2" s="160"/>
      <c r="N2" s="106"/>
      <c r="O2" s="13"/>
      <c r="P2" s="13"/>
      <c r="Q2" s="107"/>
    </row>
    <row r="3" spans="2:17" s="4" customFormat="1" ht="18">
      <c r="B3" s="161" t="s">
        <v>41</v>
      </c>
      <c r="C3" s="161"/>
      <c r="D3" s="161"/>
      <c r="E3" s="161"/>
      <c r="F3" s="161"/>
      <c r="G3" s="161"/>
      <c r="H3" s="161"/>
      <c r="I3" s="161"/>
      <c r="J3" s="161"/>
      <c r="K3" s="161"/>
      <c r="L3" s="161"/>
      <c r="M3" s="161"/>
      <c r="N3" s="5"/>
      <c r="O3" s="13"/>
      <c r="P3" s="13"/>
      <c r="Q3" s="14"/>
    </row>
    <row r="4" spans="2:17" s="4" customFormat="1" ht="14.25">
      <c r="D4" s="6"/>
      <c r="E4" s="6"/>
      <c r="O4" s="13"/>
      <c r="P4" s="15"/>
      <c r="Q4" s="14"/>
    </row>
    <row r="5" spans="2:17" ht="14.25">
      <c r="B5" s="18"/>
      <c r="C5" s="18"/>
      <c r="D5" s="19"/>
      <c r="E5" s="19"/>
      <c r="F5" s="18"/>
      <c r="G5" s="18"/>
      <c r="H5" s="18"/>
      <c r="I5" s="18"/>
      <c r="J5" s="18"/>
      <c r="K5" s="18"/>
      <c r="L5" s="18"/>
      <c r="M5" s="18"/>
      <c r="P5" s="15"/>
      <c r="Q5" s="17"/>
    </row>
    <row r="6" spans="2:17" ht="18">
      <c r="B6" s="18"/>
      <c r="C6" s="162" t="s">
        <v>42</v>
      </c>
      <c r="D6" s="163"/>
      <c r="E6" s="19"/>
      <c r="F6" s="162" t="s">
        <v>0</v>
      </c>
      <c r="G6" s="163"/>
      <c r="H6" s="18"/>
      <c r="I6" s="162" t="s">
        <v>34</v>
      </c>
      <c r="J6" s="164"/>
      <c r="K6" s="164"/>
      <c r="L6" s="163"/>
      <c r="M6" s="18"/>
    </row>
    <row r="7" spans="2:17" ht="14.25" thickBot="1">
      <c r="B7" s="18"/>
      <c r="C7" s="18"/>
      <c r="D7" s="19"/>
      <c r="E7" s="19"/>
      <c r="F7" s="18"/>
      <c r="G7" s="18"/>
      <c r="H7" s="18"/>
      <c r="I7" s="1" t="s">
        <v>35</v>
      </c>
      <c r="J7" s="2"/>
      <c r="K7" s="2"/>
      <c r="L7" s="2"/>
      <c r="M7" s="18"/>
    </row>
    <row r="8" spans="2:17" ht="15" thickBot="1">
      <c r="B8" s="18"/>
      <c r="C8" s="9" t="s">
        <v>1</v>
      </c>
      <c r="D8" s="20">
        <v>10000000</v>
      </c>
      <c r="E8" s="19"/>
      <c r="F8" s="10" t="s">
        <v>18</v>
      </c>
      <c r="G8" s="21">
        <v>10000000</v>
      </c>
      <c r="H8" s="11">
        <f>+G8/J56</f>
        <v>1</v>
      </c>
      <c r="I8" s="108" t="s">
        <v>2</v>
      </c>
      <c r="J8" s="109" t="s">
        <v>4</v>
      </c>
      <c r="K8" s="109" t="s">
        <v>43</v>
      </c>
      <c r="L8" s="110" t="s">
        <v>5</v>
      </c>
      <c r="M8" s="18"/>
    </row>
    <row r="9" spans="2:17">
      <c r="B9" s="18"/>
      <c r="C9" s="22" t="s">
        <v>6</v>
      </c>
      <c r="D9" s="23">
        <v>0.1</v>
      </c>
      <c r="E9" s="19"/>
      <c r="F9" s="24"/>
      <c r="G9" s="24"/>
      <c r="H9" s="18"/>
      <c r="I9" s="140">
        <f>+D15</f>
        <v>42317</v>
      </c>
      <c r="J9" s="141"/>
      <c r="K9" s="141"/>
      <c r="L9" s="142">
        <f>-G8*G10</f>
        <v>-10000000</v>
      </c>
      <c r="M9" s="18"/>
      <c r="P9" s="32"/>
    </row>
    <row r="10" spans="2:17">
      <c r="B10" s="18"/>
      <c r="C10" s="22" t="s">
        <v>36</v>
      </c>
      <c r="D10" s="112" t="s">
        <v>38</v>
      </c>
      <c r="E10" s="19"/>
      <c r="F10" s="10" t="s">
        <v>11</v>
      </c>
      <c r="G10" s="113">
        <v>1</v>
      </c>
      <c r="H10" s="18"/>
      <c r="I10" s="111">
        <f t="shared" ref="I10:I26" si="0">+I35</f>
        <v>42328</v>
      </c>
      <c r="J10" s="136">
        <f>+$H$8*J35</f>
        <v>0</v>
      </c>
      <c r="K10" s="136">
        <f>+$H$8*K35</f>
        <v>0</v>
      </c>
      <c r="L10" s="137">
        <f t="shared" ref="L10:L23" si="1">+J10+K10</f>
        <v>0</v>
      </c>
      <c r="M10" s="18"/>
      <c r="P10" s="32"/>
    </row>
    <row r="11" spans="2:17">
      <c r="B11" s="18"/>
      <c r="C11" s="22" t="s">
        <v>37</v>
      </c>
      <c r="D11" s="23" t="s">
        <v>38</v>
      </c>
      <c r="E11" s="19"/>
      <c r="F11" s="24"/>
      <c r="G11" s="114"/>
      <c r="H11" s="18"/>
      <c r="I11" s="111">
        <f t="shared" si="0"/>
        <v>42359</v>
      </c>
      <c r="J11" s="136">
        <f t="shared" ref="J11:K11" si="2">+$H$8*J36</f>
        <v>0</v>
      </c>
      <c r="K11" s="136">
        <f t="shared" si="2"/>
        <v>0</v>
      </c>
      <c r="L11" s="137">
        <f t="shared" si="1"/>
        <v>0</v>
      </c>
      <c r="M11" s="18"/>
      <c r="P11" s="32"/>
    </row>
    <row r="12" spans="2:17">
      <c r="B12" s="18"/>
      <c r="C12" s="22" t="s">
        <v>39</v>
      </c>
      <c r="D12" s="23" t="s">
        <v>38</v>
      </c>
      <c r="E12" s="18"/>
      <c r="F12" s="10" t="s">
        <v>7</v>
      </c>
      <c r="G12" s="115">
        <f>XIRR(L9:L26,I9:I26)</f>
        <v>0.15976555943489079</v>
      </c>
      <c r="H12" s="18"/>
      <c r="I12" s="111">
        <f t="shared" si="0"/>
        <v>42389</v>
      </c>
      <c r="J12" s="136">
        <f t="shared" ref="J12:K12" si="3">+$H$8*J37</f>
        <v>0</v>
      </c>
      <c r="K12" s="136">
        <f t="shared" si="3"/>
        <v>0</v>
      </c>
      <c r="L12" s="137">
        <f t="shared" si="1"/>
        <v>0</v>
      </c>
      <c r="M12" s="18"/>
      <c r="P12" s="32"/>
    </row>
    <row r="13" spans="2:17">
      <c r="B13" s="18"/>
      <c r="C13" s="22" t="s">
        <v>9</v>
      </c>
      <c r="D13" s="23" t="s">
        <v>38</v>
      </c>
      <c r="E13" s="18"/>
      <c r="F13" s="24"/>
      <c r="G13" s="24"/>
      <c r="H13" s="18"/>
      <c r="I13" s="111">
        <f t="shared" si="0"/>
        <v>42422</v>
      </c>
      <c r="J13" s="136">
        <f t="shared" ref="J13:K13" si="4">+$H$8*J38</f>
        <v>0</v>
      </c>
      <c r="K13" s="136">
        <f t="shared" si="4"/>
        <v>0</v>
      </c>
      <c r="L13" s="137">
        <f t="shared" si="1"/>
        <v>0</v>
      </c>
      <c r="M13" s="18"/>
      <c r="P13" s="32"/>
    </row>
    <row r="14" spans="2:17">
      <c r="B14" s="18"/>
      <c r="C14" s="22" t="s">
        <v>10</v>
      </c>
      <c r="D14" s="23" t="s">
        <v>38</v>
      </c>
      <c r="E14" s="18"/>
      <c r="F14" s="10" t="s">
        <v>8</v>
      </c>
      <c r="G14" s="68">
        <f>NOMINAL(G12,12)</f>
        <v>0.14913701693325354</v>
      </c>
      <c r="H14" s="18"/>
      <c r="I14" s="111">
        <f t="shared" si="0"/>
        <v>42450</v>
      </c>
      <c r="J14" s="136">
        <f t="shared" ref="J14:K14" si="5">+$H$8*J39</f>
        <v>0</v>
      </c>
      <c r="K14" s="136">
        <f t="shared" si="5"/>
        <v>0</v>
      </c>
      <c r="L14" s="137">
        <f t="shared" si="1"/>
        <v>0</v>
      </c>
      <c r="M14" s="18"/>
      <c r="P14" s="32"/>
    </row>
    <row r="15" spans="2:17">
      <c r="B15" s="18"/>
      <c r="C15" s="22" t="s">
        <v>12</v>
      </c>
      <c r="D15" s="145">
        <v>42317</v>
      </c>
      <c r="E15" s="18"/>
      <c r="F15" s="24"/>
      <c r="G15" s="24"/>
      <c r="H15" s="18"/>
      <c r="I15" s="111">
        <f t="shared" si="0"/>
        <v>42480</v>
      </c>
      <c r="J15" s="136">
        <f t="shared" ref="J15:K15" si="6">+$H$8*J40</f>
        <v>0</v>
      </c>
      <c r="K15" s="136">
        <f t="shared" si="6"/>
        <v>0</v>
      </c>
      <c r="L15" s="137">
        <f t="shared" si="1"/>
        <v>0</v>
      </c>
      <c r="M15" s="18"/>
      <c r="P15" s="32"/>
    </row>
    <row r="16" spans="2:17">
      <c r="B16" s="18"/>
      <c r="C16" s="26" t="s">
        <v>13</v>
      </c>
      <c r="D16" s="146">
        <v>14.874658447502048</v>
      </c>
      <c r="E16" s="18"/>
      <c r="F16" s="27" t="s">
        <v>40</v>
      </c>
      <c r="G16" s="28">
        <f>+G8*G10</f>
        <v>10000000</v>
      </c>
      <c r="H16" s="18"/>
      <c r="I16" s="111">
        <f t="shared" si="0"/>
        <v>42510</v>
      </c>
      <c r="J16" s="136">
        <f t="shared" ref="J16:K16" si="7">+$H$8*J41</f>
        <v>0</v>
      </c>
      <c r="K16" s="136">
        <f t="shared" si="7"/>
        <v>0</v>
      </c>
      <c r="L16" s="137">
        <f t="shared" si="1"/>
        <v>0</v>
      </c>
      <c r="M16" s="18"/>
      <c r="P16" s="32"/>
    </row>
    <row r="17" spans="2:16">
      <c r="B17" s="18"/>
      <c r="C17" s="26" t="s">
        <v>14</v>
      </c>
      <c r="D17" s="147" t="s">
        <v>68</v>
      </c>
      <c r="E17" s="18"/>
      <c r="F17" s="24"/>
      <c r="G17" s="24"/>
      <c r="H17" s="18"/>
      <c r="I17" s="111">
        <f t="shared" si="0"/>
        <v>42541</v>
      </c>
      <c r="J17" s="136">
        <f t="shared" ref="J17:K17" si="8">+$H$8*J42</f>
        <v>0</v>
      </c>
      <c r="K17" s="136">
        <f t="shared" si="8"/>
        <v>0</v>
      </c>
      <c r="L17" s="137">
        <f t="shared" si="1"/>
        <v>0</v>
      </c>
      <c r="M17" s="18"/>
      <c r="P17" s="32"/>
    </row>
    <row r="18" spans="2:16">
      <c r="B18" s="18"/>
      <c r="C18" s="29" t="s">
        <v>15</v>
      </c>
      <c r="D18" s="30" t="s">
        <v>55</v>
      </c>
      <c r="E18" s="18"/>
      <c r="F18" s="18"/>
      <c r="G18" s="18"/>
      <c r="H18" s="18"/>
      <c r="I18" s="111">
        <f t="shared" si="0"/>
        <v>42571</v>
      </c>
      <c r="J18" s="136">
        <f t="shared" ref="J18:K18" si="9">+$H$8*J43</f>
        <v>0</v>
      </c>
      <c r="K18" s="136">
        <f t="shared" si="9"/>
        <v>0</v>
      </c>
      <c r="L18" s="137">
        <f t="shared" si="1"/>
        <v>0</v>
      </c>
      <c r="M18" s="18"/>
    </row>
    <row r="19" spans="2:16">
      <c r="B19" s="18"/>
      <c r="C19" s="18"/>
      <c r="D19" s="18"/>
      <c r="E19" s="18"/>
      <c r="F19" s="18"/>
      <c r="G19" s="18"/>
      <c r="H19" s="18"/>
      <c r="I19" s="111">
        <f t="shared" si="0"/>
        <v>42604</v>
      </c>
      <c r="J19" s="136">
        <f t="shared" ref="J19:K19" si="10">+$H$8*J44</f>
        <v>0</v>
      </c>
      <c r="K19" s="136">
        <f t="shared" si="10"/>
        <v>0</v>
      </c>
      <c r="L19" s="137">
        <f t="shared" si="1"/>
        <v>0</v>
      </c>
      <c r="M19" s="18"/>
    </row>
    <row r="20" spans="2:16">
      <c r="H20" s="18"/>
      <c r="I20" s="111">
        <f t="shared" si="0"/>
        <v>42633</v>
      </c>
      <c r="J20" s="136">
        <f t="shared" ref="J20:K20" si="11">+$H$8*J45</f>
        <v>0</v>
      </c>
      <c r="K20" s="136">
        <f t="shared" si="11"/>
        <v>0</v>
      </c>
      <c r="L20" s="137">
        <f t="shared" si="1"/>
        <v>0</v>
      </c>
      <c r="M20" s="18"/>
    </row>
    <row r="21" spans="2:16">
      <c r="B21" s="16" t="s">
        <v>44</v>
      </c>
      <c r="H21" s="18"/>
      <c r="I21" s="111">
        <f t="shared" si="0"/>
        <v>42663</v>
      </c>
      <c r="J21" s="136">
        <f t="shared" ref="J21:K21" si="12">+$H$8*J46</f>
        <v>0</v>
      </c>
      <c r="K21" s="136">
        <f t="shared" si="12"/>
        <v>0</v>
      </c>
      <c r="L21" s="137">
        <f t="shared" si="1"/>
        <v>0</v>
      </c>
      <c r="M21" s="18"/>
    </row>
    <row r="22" spans="2:16">
      <c r="B22" s="16" t="s">
        <v>49</v>
      </c>
      <c r="H22" s="18"/>
      <c r="I22" s="111">
        <f t="shared" si="0"/>
        <v>42695</v>
      </c>
      <c r="J22" s="136">
        <f t="shared" ref="J22:K22" si="13">+$H$8*J47</f>
        <v>0</v>
      </c>
      <c r="K22" s="136">
        <f t="shared" si="13"/>
        <v>0</v>
      </c>
      <c r="L22" s="137">
        <f t="shared" si="1"/>
        <v>0</v>
      </c>
      <c r="M22" s="18"/>
    </row>
    <row r="23" spans="2:16">
      <c r="B23" s="16" t="s">
        <v>56</v>
      </c>
      <c r="H23" s="18"/>
      <c r="I23" s="111">
        <f t="shared" si="0"/>
        <v>42724</v>
      </c>
      <c r="J23" s="136">
        <f t="shared" ref="J23:K23" si="14">+$H$8*J48</f>
        <v>0</v>
      </c>
      <c r="K23" s="136">
        <f t="shared" si="14"/>
        <v>0</v>
      </c>
      <c r="L23" s="137">
        <f t="shared" si="1"/>
        <v>0</v>
      </c>
      <c r="M23" s="18"/>
    </row>
    <row r="24" spans="2:16" ht="14.25" thickBot="1">
      <c r="H24" s="18"/>
      <c r="I24" s="111">
        <f t="shared" si="0"/>
        <v>42755</v>
      </c>
      <c r="J24" s="136">
        <f>+$H$8*J49</f>
        <v>7572876.1585108303</v>
      </c>
      <c r="K24" s="136">
        <f t="shared" ref="K24" si="15">+$H$8*K49</f>
        <v>0</v>
      </c>
      <c r="L24" s="137">
        <f>+J24+K24</f>
        <v>7572876.1585108303</v>
      </c>
      <c r="M24" s="18"/>
    </row>
    <row r="25" spans="2:16" ht="14.25" customHeight="1">
      <c r="B25" s="166" t="s">
        <v>48</v>
      </c>
      <c r="C25" s="167"/>
      <c r="D25" s="167"/>
      <c r="E25" s="167"/>
      <c r="F25" s="168"/>
      <c r="H25" s="18"/>
      <c r="I25" s="111">
        <f t="shared" si="0"/>
        <v>42786</v>
      </c>
      <c r="J25" s="136">
        <f>+$H$8*J50</f>
        <v>2427023.8414891697</v>
      </c>
      <c r="K25" s="136">
        <f t="shared" ref="K25" si="16">+$H$8*K50</f>
        <v>661921</v>
      </c>
      <c r="L25" s="137">
        <f>+J25+K25</f>
        <v>3088944.8414891697</v>
      </c>
      <c r="M25" s="18"/>
    </row>
    <row r="26" spans="2:16" ht="14.25" thickBot="1">
      <c r="B26" s="169"/>
      <c r="C26" s="170"/>
      <c r="D26" s="170"/>
      <c r="E26" s="170"/>
      <c r="F26" s="171"/>
      <c r="H26" s="18"/>
      <c r="I26" s="111">
        <f t="shared" si="0"/>
        <v>42814</v>
      </c>
      <c r="J26" s="136">
        <f>+$H$8*J51</f>
        <v>100</v>
      </c>
      <c r="K26" s="136">
        <f t="shared" ref="K26" si="17">+$H$8*K51</f>
        <v>1355408</v>
      </c>
      <c r="L26" s="137">
        <f>+J26+K26</f>
        <v>1355508</v>
      </c>
      <c r="M26" s="18"/>
    </row>
    <row r="27" spans="2:16" ht="14.25" thickBot="1">
      <c r="B27" s="169"/>
      <c r="C27" s="170"/>
      <c r="D27" s="170"/>
      <c r="E27" s="170"/>
      <c r="F27" s="171"/>
      <c r="H27" s="18"/>
      <c r="I27" s="116" t="s">
        <v>5</v>
      </c>
      <c r="J27" s="117">
        <f>SUM(J9:J26)</f>
        <v>10000000</v>
      </c>
      <c r="K27" s="117">
        <f>SUM(K9:K26)</f>
        <v>2017329</v>
      </c>
      <c r="L27" s="117">
        <f>SUM(L10:L26)</f>
        <v>12017329</v>
      </c>
      <c r="M27" s="18"/>
    </row>
    <row r="28" spans="2:16">
      <c r="B28" s="169"/>
      <c r="C28" s="170"/>
      <c r="D28" s="170"/>
      <c r="E28" s="170"/>
      <c r="F28" s="171"/>
      <c r="H28" s="18"/>
      <c r="I28" s="18"/>
      <c r="J28" s="3"/>
      <c r="K28" s="3"/>
      <c r="L28" s="3"/>
      <c r="M28" s="18"/>
    </row>
    <row r="29" spans="2:16" ht="14.25" thickBot="1">
      <c r="B29" s="172"/>
      <c r="C29" s="173"/>
      <c r="D29" s="173"/>
      <c r="E29" s="173"/>
      <c r="F29" s="174"/>
      <c r="I29" s="7"/>
      <c r="J29" s="7"/>
      <c r="K29" s="7"/>
      <c r="L29" s="7"/>
    </row>
    <row r="30" spans="2:16" ht="13.5" customHeight="1" thickBot="1"/>
    <row r="31" spans="2:16" ht="111.75" customHeight="1" thickTop="1" thickBot="1">
      <c r="C31" s="148" t="s">
        <v>24</v>
      </c>
      <c r="D31" s="149"/>
      <c r="E31" s="149"/>
      <c r="F31" s="149"/>
      <c r="G31" s="149"/>
      <c r="H31" s="149"/>
      <c r="I31" s="149"/>
      <c r="J31" s="149"/>
      <c r="K31" s="149"/>
      <c r="L31" s="150"/>
    </row>
    <row r="32" spans="2:16" ht="14.25" thickTop="1">
      <c r="D32" s="31"/>
    </row>
    <row r="33" spans="6:14" ht="14.25" hidden="1" customHeight="1" thickBot="1">
      <c r="I33" s="118" t="s">
        <v>2</v>
      </c>
      <c r="J33" s="119" t="s">
        <v>4</v>
      </c>
      <c r="K33" s="119" t="s">
        <v>43</v>
      </c>
      <c r="L33" s="120" t="s">
        <v>5</v>
      </c>
    </row>
    <row r="34" spans="6:14" hidden="1">
      <c r="F34" s="139" t="s">
        <v>45</v>
      </c>
      <c r="G34" s="138">
        <v>1</v>
      </c>
      <c r="I34" s="121">
        <f>D15</f>
        <v>42317</v>
      </c>
      <c r="J34" s="122"/>
      <c r="K34" s="123"/>
      <c r="L34" s="124">
        <f>-D8*G10</f>
        <v>-10000000</v>
      </c>
    </row>
    <row r="35" spans="6:14" hidden="1">
      <c r="F35" s="139" t="s">
        <v>46</v>
      </c>
      <c r="G35" s="138">
        <v>0.15976552367210392</v>
      </c>
      <c r="H35" s="125"/>
      <c r="I35" s="126">
        <v>42328</v>
      </c>
      <c r="J35" s="134">
        <v>0</v>
      </c>
      <c r="K35" s="134">
        <v>0</v>
      </c>
      <c r="L35" s="129">
        <f t="shared" ref="L35:L48" si="18">+K35+J35</f>
        <v>0</v>
      </c>
      <c r="N35" s="130"/>
    </row>
    <row r="36" spans="6:14" hidden="1">
      <c r="I36" s="126">
        <v>42359</v>
      </c>
      <c r="J36" s="134">
        <v>0</v>
      </c>
      <c r="K36" s="134">
        <v>0</v>
      </c>
      <c r="L36" s="129">
        <f t="shared" si="18"/>
        <v>0</v>
      </c>
      <c r="N36" s="130"/>
    </row>
    <row r="37" spans="6:14" hidden="1">
      <c r="I37" s="126">
        <v>42389</v>
      </c>
      <c r="J37" s="134">
        <v>0</v>
      </c>
      <c r="K37" s="134">
        <v>0</v>
      </c>
      <c r="L37" s="129">
        <f t="shared" si="18"/>
        <v>0</v>
      </c>
      <c r="N37" s="130"/>
    </row>
    <row r="38" spans="6:14" hidden="1">
      <c r="I38" s="126">
        <v>42422</v>
      </c>
      <c r="J38" s="134">
        <v>0</v>
      </c>
      <c r="K38" s="134">
        <v>0</v>
      </c>
      <c r="L38" s="129">
        <f t="shared" si="18"/>
        <v>0</v>
      </c>
      <c r="N38" s="130"/>
    </row>
    <row r="39" spans="6:14" hidden="1">
      <c r="I39" s="126">
        <v>42450</v>
      </c>
      <c r="J39" s="134">
        <v>0</v>
      </c>
      <c r="K39" s="134">
        <v>0</v>
      </c>
      <c r="L39" s="129">
        <f t="shared" si="18"/>
        <v>0</v>
      </c>
      <c r="N39" s="130"/>
    </row>
    <row r="40" spans="6:14" hidden="1">
      <c r="I40" s="126">
        <v>42480</v>
      </c>
      <c r="J40" s="134">
        <v>0</v>
      </c>
      <c r="K40" s="134">
        <v>0</v>
      </c>
      <c r="L40" s="129">
        <f t="shared" si="18"/>
        <v>0</v>
      </c>
      <c r="N40" s="130"/>
    </row>
    <row r="41" spans="6:14" hidden="1">
      <c r="I41" s="126">
        <v>42510</v>
      </c>
      <c r="J41" s="134">
        <v>0</v>
      </c>
      <c r="K41" s="134">
        <v>0</v>
      </c>
      <c r="L41" s="129">
        <f t="shared" si="18"/>
        <v>0</v>
      </c>
      <c r="N41" s="130"/>
    </row>
    <row r="42" spans="6:14" hidden="1">
      <c r="I42" s="126">
        <v>42541</v>
      </c>
      <c r="J42" s="134">
        <v>0</v>
      </c>
      <c r="K42" s="134">
        <v>0</v>
      </c>
      <c r="L42" s="129">
        <f t="shared" si="18"/>
        <v>0</v>
      </c>
      <c r="N42" s="130"/>
    </row>
    <row r="43" spans="6:14" hidden="1">
      <c r="I43" s="126">
        <v>42571</v>
      </c>
      <c r="J43" s="134">
        <v>0</v>
      </c>
      <c r="K43" s="134">
        <v>0</v>
      </c>
      <c r="L43" s="129">
        <f t="shared" si="18"/>
        <v>0</v>
      </c>
      <c r="N43" s="130"/>
    </row>
    <row r="44" spans="6:14" hidden="1">
      <c r="I44" s="126">
        <v>42604</v>
      </c>
      <c r="J44" s="134">
        <v>0</v>
      </c>
      <c r="K44" s="134">
        <v>0</v>
      </c>
      <c r="L44" s="129">
        <f t="shared" si="18"/>
        <v>0</v>
      </c>
      <c r="N44" s="130"/>
    </row>
    <row r="45" spans="6:14" hidden="1">
      <c r="I45" s="126">
        <v>42633</v>
      </c>
      <c r="J45" s="134">
        <v>0</v>
      </c>
      <c r="K45" s="134">
        <v>0</v>
      </c>
      <c r="L45" s="129">
        <f t="shared" si="18"/>
        <v>0</v>
      </c>
      <c r="N45" s="130"/>
    </row>
    <row r="46" spans="6:14" hidden="1">
      <c r="I46" s="126">
        <v>42663</v>
      </c>
      <c r="J46" s="134">
        <v>0</v>
      </c>
      <c r="K46" s="134">
        <v>0</v>
      </c>
      <c r="L46" s="129">
        <f t="shared" si="18"/>
        <v>0</v>
      </c>
      <c r="N46" s="130"/>
    </row>
    <row r="47" spans="6:14" hidden="1">
      <c r="I47" s="126">
        <v>42695</v>
      </c>
      <c r="J47" s="134">
        <v>0</v>
      </c>
      <c r="K47" s="134">
        <v>0</v>
      </c>
      <c r="L47" s="129">
        <f t="shared" si="18"/>
        <v>0</v>
      </c>
      <c r="N47" s="130"/>
    </row>
    <row r="48" spans="6:14" hidden="1">
      <c r="I48" s="126">
        <v>42724</v>
      </c>
      <c r="J48" s="134">
        <v>0</v>
      </c>
      <c r="K48" s="134">
        <v>0</v>
      </c>
      <c r="L48" s="129">
        <f t="shared" si="18"/>
        <v>0</v>
      </c>
      <c r="N48" s="130"/>
    </row>
    <row r="49" spans="9:14" hidden="1">
      <c r="I49" s="126">
        <v>42755</v>
      </c>
      <c r="J49" s="134">
        <v>7572876.1585108303</v>
      </c>
      <c r="K49" s="134">
        <v>0</v>
      </c>
      <c r="L49" s="129">
        <f>+K49+J49</f>
        <v>7572876.1585108303</v>
      </c>
      <c r="N49" s="130"/>
    </row>
    <row r="50" spans="9:14" hidden="1">
      <c r="I50" s="126">
        <v>42786</v>
      </c>
      <c r="J50" s="134">
        <v>2427023.8414891697</v>
      </c>
      <c r="K50" s="134">
        <v>661921</v>
      </c>
      <c r="L50" s="129">
        <f>+K50+J50</f>
        <v>3088944.8414891697</v>
      </c>
      <c r="N50" s="130"/>
    </row>
    <row r="51" spans="9:14" hidden="1">
      <c r="I51" s="126">
        <v>42814</v>
      </c>
      <c r="J51" s="134">
        <v>100</v>
      </c>
      <c r="K51" s="134">
        <v>1355408</v>
      </c>
      <c r="L51" s="129">
        <f>+K51+J51</f>
        <v>1355508</v>
      </c>
      <c r="N51" s="130"/>
    </row>
    <row r="52" spans="9:14" hidden="1">
      <c r="I52" s="126"/>
      <c r="J52" s="134"/>
      <c r="K52" s="135"/>
      <c r="L52" s="129"/>
      <c r="N52" s="130"/>
    </row>
    <row r="53" spans="9:14" hidden="1">
      <c r="I53" s="126"/>
      <c r="J53" s="134"/>
      <c r="K53" s="135"/>
      <c r="L53" s="129"/>
      <c r="N53" s="130"/>
    </row>
    <row r="54" spans="9:14" hidden="1">
      <c r="I54" s="126"/>
      <c r="J54" s="134"/>
      <c r="K54" s="135"/>
      <c r="L54" s="129"/>
      <c r="N54" s="130"/>
    </row>
    <row r="55" spans="9:14" ht="14.25" hidden="1" thickBot="1">
      <c r="I55" s="131"/>
      <c r="J55" s="127"/>
      <c r="K55" s="128"/>
      <c r="L55" s="129"/>
      <c r="N55" s="130"/>
    </row>
    <row r="56" spans="9:14" ht="14.25" hidden="1" thickBot="1">
      <c r="I56" s="132" t="s">
        <v>5</v>
      </c>
      <c r="J56" s="133">
        <f>+SUM(J35:J55)</f>
        <v>10000000</v>
      </c>
      <c r="K56" s="133">
        <f>+SUM(K35:K55)</f>
        <v>2017329</v>
      </c>
      <c r="L56" s="133">
        <f>SUM(L35:L55)</f>
        <v>12017329</v>
      </c>
      <c r="N56" s="130"/>
    </row>
  </sheetData>
  <sheetProtection password="CF7A" sheet="1" objects="1" scenarios="1" selectLockedCells="1"/>
  <dataConsolidate/>
  <mergeCells count="7">
    <mergeCell ref="C31:L31"/>
    <mergeCell ref="B2:M2"/>
    <mergeCell ref="B3:M3"/>
    <mergeCell ref="C6:D6"/>
    <mergeCell ref="F6:G6"/>
    <mergeCell ref="I6:L6"/>
    <mergeCell ref="B25:F29"/>
  </mergeCells>
  <dataValidations count="1">
    <dataValidation type="decimal" operator="greaterThanOrEqual" allowBlank="1" showInputMessage="1" showErrorMessage="1" errorTitle="Precio Mínimo del CP" error="El precio ingresado es menor al mínimo." sqref="G10">
      <formula1>G34</formula1>
    </dataValidation>
  </dataValidations>
  <printOptions horizontalCentered="1"/>
  <pageMargins left="0.78740157480314965" right="0.78740157480314965" top="0.98425196850393704" bottom="0.98425196850393704" header="0.39370078740157483" footer="0.39370078740157483"/>
  <pageSetup paperSize="9" scale="74" orientation="landscape" r:id="rId1"/>
  <headerFooter alignWithMargins="0"/>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VDF TVA</vt:lpstr>
      <vt:lpstr>VDF TVB</vt:lpstr>
      <vt:lpstr>CP</vt:lpstr>
      <vt:lpstr>CP!Área_de_impresión</vt:lpstr>
      <vt:lpstr>'VDF TVA'!Área_de_impresión</vt:lpstr>
      <vt:lpstr>'VDF TVB'!Área_de_impresión</vt:lpstr>
    </vt:vector>
  </TitlesOfParts>
  <Company>Banco BANEX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gl83565</dc:creator>
  <cp:lastModifiedBy>Manuel Alvarado</cp:lastModifiedBy>
  <cp:lastPrinted>2015-01-26T18:34:54Z</cp:lastPrinted>
  <dcterms:created xsi:type="dcterms:W3CDTF">2009-01-13T20:45:21Z</dcterms:created>
  <dcterms:modified xsi:type="dcterms:W3CDTF">2015-10-29T12:07:37Z</dcterms:modified>
</cp:coreProperties>
</file>